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HARED\All Data 21072023\Public\Documents\Downloads\2023\1. Salary\1. DM\10.Oct 2023\DHL\"/>
    </mc:Choice>
  </mc:AlternateContent>
  <bookViews>
    <workbookView xWindow="0" yWindow="0" windowWidth="28800" windowHeight="13845" activeTab="1"/>
  </bookViews>
  <sheets>
    <sheet name="Wages" sheetId="18" r:id="rId1"/>
    <sheet name="OT" sheetId="2" r:id="rId2"/>
    <sheet name="Manual Wages " sheetId="17" state="hidden" r:id="rId3"/>
    <sheet name="Arrears" sheetId="11" state="hidden" r:id="rId4"/>
    <sheet name="New Joinees" sheetId="4" state="hidden" r:id="rId5"/>
    <sheet name="Exit Employees" sheetId="5" state="hidden" r:id="rId6"/>
    <sheet name="F&amp;F Status" sheetId="6" state="hidden" r:id="rId7"/>
    <sheet name="Sheet1" sheetId="12" state="hidden" r:id="rId8"/>
    <sheet name="Sheet2" sheetId="14" state="hidden" r:id="rId9"/>
  </sheets>
  <definedNames>
    <definedName name="_xlnm._FilterDatabase" localSheetId="3" hidden="1">Arrears!$A$5:$AS$5</definedName>
    <definedName name="_xlnm._FilterDatabase" localSheetId="2" hidden="1">'Manual Wages '!$A$5:$BA$5</definedName>
    <definedName name="_xlnm._FilterDatabase" localSheetId="1" hidden="1">OT!$A$5:$AR$41</definedName>
    <definedName name="_xlnm._FilterDatabase" localSheetId="0" hidden="1">Wages!$A$5:$AX$38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7" i="2" l="1"/>
  <c r="O8" i="2"/>
  <c r="O9" i="2"/>
  <c r="O10" i="2"/>
  <c r="O11" i="2"/>
  <c r="O12" i="2"/>
  <c r="O13" i="2"/>
  <c r="O14" i="2"/>
  <c r="O15" i="2"/>
  <c r="O16" i="2"/>
  <c r="O17" i="2"/>
  <c r="O18" i="2"/>
  <c r="O19" i="2"/>
  <c r="O20" i="2"/>
  <c r="O21" i="2"/>
  <c r="O22" i="2"/>
  <c r="O23" i="2"/>
  <c r="O24" i="2"/>
  <c r="O25" i="2"/>
  <c r="O26" i="2"/>
  <c r="O27" i="2"/>
  <c r="O28" i="2"/>
  <c r="O29" i="2"/>
  <c r="O30" i="2"/>
  <c r="O31" i="2"/>
  <c r="O32" i="2"/>
  <c r="O33" i="2"/>
  <c r="O34" i="2"/>
  <c r="O35" i="2"/>
  <c r="O36" i="2"/>
  <c r="O37" i="2"/>
  <c r="O38" i="2"/>
  <c r="O6" i="2"/>
  <c r="J39" i="2" l="1"/>
  <c r="J41" i="2" s="1"/>
  <c r="O7" i="18" l="1"/>
  <c r="O8" i="18"/>
  <c r="O9" i="18"/>
  <c r="O10" i="18"/>
  <c r="O11" i="18"/>
  <c r="O12" i="18"/>
  <c r="O13" i="18"/>
  <c r="O14" i="18"/>
  <c r="O15" i="18"/>
  <c r="O16" i="18"/>
  <c r="O17" i="18"/>
  <c r="O18" i="18"/>
  <c r="O19" i="18"/>
  <c r="O20" i="18"/>
  <c r="O21" i="18"/>
  <c r="O22" i="18"/>
  <c r="O23" i="18"/>
  <c r="O24" i="18"/>
  <c r="O25" i="18"/>
  <c r="O26" i="18"/>
  <c r="O27" i="18"/>
  <c r="O28" i="18"/>
  <c r="O29" i="18"/>
  <c r="O30" i="18"/>
  <c r="O31" i="18"/>
  <c r="O32" i="18"/>
  <c r="O33" i="18"/>
  <c r="O34" i="18"/>
  <c r="O35" i="18"/>
  <c r="O36" i="18"/>
  <c r="O37" i="18"/>
  <c r="O38" i="18"/>
  <c r="O6" i="18"/>
  <c r="K39" i="2" l="1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6" i="2"/>
  <c r="N7" i="2" l="1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N37" i="2"/>
  <c r="N38" i="2"/>
  <c r="N6" i="2"/>
  <c r="A7" i="18" l="1"/>
  <c r="A8" i="18"/>
  <c r="A9" i="18"/>
  <c r="A10" i="18"/>
  <c r="A11" i="18"/>
  <c r="A12" i="18"/>
  <c r="A13" i="18"/>
  <c r="A14" i="18"/>
  <c r="A15" i="18"/>
  <c r="A16" i="18"/>
  <c r="A17" i="18"/>
  <c r="A18" i="18"/>
  <c r="A19" i="18"/>
  <c r="A20" i="18"/>
  <c r="A21" i="18"/>
  <c r="A22" i="18"/>
  <c r="A23" i="18"/>
  <c r="A24" i="18"/>
  <c r="A25" i="18"/>
  <c r="A26" i="18"/>
  <c r="A27" i="18"/>
  <c r="A28" i="18"/>
  <c r="A29" i="18"/>
  <c r="A30" i="18"/>
  <c r="A31" i="18"/>
  <c r="A32" i="18"/>
  <c r="A33" i="18"/>
  <c r="A34" i="18"/>
  <c r="A35" i="18"/>
  <c r="A36" i="18"/>
  <c r="A37" i="18"/>
  <c r="A38" i="18"/>
  <c r="A6" i="18"/>
  <c r="R38" i="2" l="1"/>
  <c r="T38" i="18"/>
  <c r="AO38" i="18"/>
  <c r="U38" i="18" l="1"/>
  <c r="Z38" i="18" s="1"/>
  <c r="W38" i="18"/>
  <c r="AJ38" i="18"/>
  <c r="V38" i="18"/>
  <c r="S38" i="2" l="1"/>
  <c r="T38" i="2" s="1"/>
  <c r="U38" i="2" s="1"/>
  <c r="V38" i="2" s="1"/>
  <c r="Y38" i="18"/>
  <c r="P38" i="2"/>
  <c r="Q38" i="2" s="1"/>
  <c r="AA38" i="18" l="1"/>
  <c r="AB38" i="18" s="1"/>
  <c r="AH38" i="18" l="1"/>
  <c r="AS38" i="18"/>
  <c r="AT38" i="18"/>
  <c r="AD38" i="18"/>
  <c r="AC38" i="18"/>
  <c r="AG38" i="18"/>
  <c r="L40" i="18"/>
  <c r="M39" i="2"/>
  <c r="R37" i="2"/>
  <c r="AM38" i="18" l="1"/>
  <c r="AN38" i="18" s="1"/>
  <c r="AP38" i="18" s="1"/>
  <c r="AQ38" i="18" s="1"/>
  <c r="AR38" i="18" s="1"/>
  <c r="AF38" i="18"/>
  <c r="AL40" i="18"/>
  <c r="AL42" i="18" s="1"/>
  <c r="AK40" i="18"/>
  <c r="AI40" i="18"/>
  <c r="AE40" i="18"/>
  <c r="S40" i="18"/>
  <c r="R40" i="18"/>
  <c r="Q40" i="18"/>
  <c r="P40" i="18"/>
  <c r="N40" i="18"/>
  <c r="M40" i="18"/>
  <c r="P37" i="2" l="1"/>
  <c r="Q37" i="2" s="1"/>
  <c r="S37" i="2"/>
  <c r="T37" i="18"/>
  <c r="T37" i="2" l="1"/>
  <c r="U37" i="2" s="1"/>
  <c r="V37" i="2" s="1"/>
  <c r="V37" i="18"/>
  <c r="W37" i="18"/>
  <c r="AJ37" i="18"/>
  <c r="U37" i="18"/>
  <c r="Z37" i="18" s="1"/>
  <c r="AO37" i="18"/>
  <c r="Y37" i="18" l="1"/>
  <c r="AA37" i="18" s="1"/>
  <c r="AB37" i="18" l="1"/>
  <c r="AH37" i="18" l="1"/>
  <c r="AS37" i="18"/>
  <c r="AT37" i="18"/>
  <c r="AD37" i="18"/>
  <c r="AG37" i="18"/>
  <c r="AC37" i="18"/>
  <c r="R7" i="2"/>
  <c r="AF37" i="18" l="1"/>
  <c r="AM37" i="18"/>
  <c r="AN37" i="18" s="1"/>
  <c r="AP37" i="18" l="1"/>
  <c r="AQ37" i="18" s="1"/>
  <c r="AR37" i="18" s="1"/>
  <c r="R36" i="2" l="1"/>
  <c r="T36" i="18"/>
  <c r="T35" i="18"/>
  <c r="AO35" i="18"/>
  <c r="T34" i="18"/>
  <c r="T33" i="18"/>
  <c r="T32" i="18"/>
  <c r="T31" i="18"/>
  <c r="T30" i="18"/>
  <c r="T29" i="18"/>
  <c r="T28" i="18"/>
  <c r="T27" i="18"/>
  <c r="T26" i="18"/>
  <c r="T25" i="18"/>
  <c r="T24" i="18"/>
  <c r="T23" i="18"/>
  <c r="T22" i="18"/>
  <c r="T21" i="18"/>
  <c r="T20" i="18"/>
  <c r="T19" i="18"/>
  <c r="AO19" i="18"/>
  <c r="T17" i="18"/>
  <c r="AO17" i="18"/>
  <c r="T16" i="18"/>
  <c r="AO16" i="18"/>
  <c r="T15" i="18"/>
  <c r="AO15" i="18"/>
  <c r="T14" i="18"/>
  <c r="AO14" i="18"/>
  <c r="T13" i="18"/>
  <c r="AO13" i="18"/>
  <c r="T12" i="18"/>
  <c r="AO12" i="18"/>
  <c r="T11" i="18"/>
  <c r="AO11" i="18"/>
  <c r="T10" i="18"/>
  <c r="AO10" i="18"/>
  <c r="T9" i="18"/>
  <c r="AO9" i="18"/>
  <c r="T8" i="18"/>
  <c r="AO8" i="18"/>
  <c r="T7" i="18"/>
  <c r="AO7" i="18"/>
  <c r="T6" i="18"/>
  <c r="R8" i="2"/>
  <c r="R9" i="2"/>
  <c r="R10" i="2"/>
  <c r="R11" i="2"/>
  <c r="R13" i="2"/>
  <c r="R14" i="2"/>
  <c r="R15" i="2"/>
  <c r="R16" i="2"/>
  <c r="R17" i="2"/>
  <c r="R18" i="2"/>
  <c r="R19" i="2"/>
  <c r="R20" i="2"/>
  <c r="R21" i="2"/>
  <c r="R22" i="2"/>
  <c r="R23" i="2"/>
  <c r="R24" i="2"/>
  <c r="R25" i="2"/>
  <c r="R26" i="2"/>
  <c r="R27" i="2"/>
  <c r="R28" i="2"/>
  <c r="R29" i="2"/>
  <c r="R30" i="2"/>
  <c r="R31" i="2"/>
  <c r="R32" i="2"/>
  <c r="R33" i="2"/>
  <c r="R34" i="2"/>
  <c r="R35" i="2"/>
  <c r="AT21" i="18" l="1"/>
  <c r="AT29" i="18"/>
  <c r="AT12" i="18"/>
  <c r="T40" i="18"/>
  <c r="AO6" i="18"/>
  <c r="O40" i="18"/>
  <c r="O42" i="18" s="1"/>
  <c r="AG12" i="18"/>
  <c r="AC12" i="18"/>
  <c r="AG21" i="18"/>
  <c r="AC21" i="18"/>
  <c r="AG29" i="18"/>
  <c r="AC29" i="18"/>
  <c r="AJ18" i="18"/>
  <c r="AO18" i="18"/>
  <c r="AJ20" i="18"/>
  <c r="AO20" i="18"/>
  <c r="AJ21" i="18"/>
  <c r="AO21" i="18"/>
  <c r="AJ22" i="18"/>
  <c r="AO22" i="18"/>
  <c r="AJ23" i="18"/>
  <c r="AO23" i="18"/>
  <c r="AJ24" i="18"/>
  <c r="AO24" i="18"/>
  <c r="AJ25" i="18"/>
  <c r="AO25" i="18"/>
  <c r="AJ26" i="18"/>
  <c r="AO26" i="18"/>
  <c r="AJ27" i="18"/>
  <c r="AO27" i="18"/>
  <c r="AJ28" i="18"/>
  <c r="AO28" i="18"/>
  <c r="AJ29" i="18"/>
  <c r="AO29" i="18"/>
  <c r="AJ30" i="18"/>
  <c r="AO30" i="18"/>
  <c r="AJ31" i="18"/>
  <c r="AO31" i="18"/>
  <c r="AJ32" i="18"/>
  <c r="AO32" i="18"/>
  <c r="AJ33" i="18"/>
  <c r="AO33" i="18"/>
  <c r="AJ34" i="18"/>
  <c r="AO34" i="18"/>
  <c r="V36" i="18"/>
  <c r="AO36" i="18"/>
  <c r="W36" i="18"/>
  <c r="U36" i="18"/>
  <c r="Z36" i="18" s="1"/>
  <c r="AJ36" i="18"/>
  <c r="X36" i="18"/>
  <c r="X7" i="18"/>
  <c r="X10" i="18"/>
  <c r="X13" i="18"/>
  <c r="X17" i="18"/>
  <c r="U18" i="18"/>
  <c r="Z18" i="18" s="1"/>
  <c r="X15" i="18"/>
  <c r="X35" i="18"/>
  <c r="V6" i="18"/>
  <c r="AJ6" i="18"/>
  <c r="AJ8" i="18"/>
  <c r="X6" i="18"/>
  <c r="V7" i="18"/>
  <c r="AJ7" i="18"/>
  <c r="X8" i="18"/>
  <c r="X9" i="18"/>
  <c r="V10" i="18"/>
  <c r="AJ10" i="18"/>
  <c r="X11" i="18"/>
  <c r="X12" i="18"/>
  <c r="V13" i="18"/>
  <c r="AJ13" i="18"/>
  <c r="X14" i="18"/>
  <c r="V15" i="18"/>
  <c r="AJ15" i="18"/>
  <c r="X16" i="18"/>
  <c r="V17" i="18"/>
  <c r="AJ17" i="18"/>
  <c r="W18" i="18"/>
  <c r="V35" i="18"/>
  <c r="V8" i="18"/>
  <c r="V9" i="18"/>
  <c r="AJ9" i="18"/>
  <c r="V11" i="18"/>
  <c r="AJ11" i="18"/>
  <c r="V12" i="18"/>
  <c r="AJ12" i="18"/>
  <c r="V14" i="18"/>
  <c r="AJ14" i="18"/>
  <c r="V16" i="18"/>
  <c r="U6" i="18"/>
  <c r="Z6" i="18" s="1"/>
  <c r="W6" i="18"/>
  <c r="U7" i="18"/>
  <c r="Z7" i="18" s="1"/>
  <c r="W7" i="18"/>
  <c r="U8" i="18"/>
  <c r="Z8" i="18" s="1"/>
  <c r="W8" i="18"/>
  <c r="U9" i="18"/>
  <c r="Z9" i="18" s="1"/>
  <c r="W9" i="18"/>
  <c r="U10" i="18"/>
  <c r="W10" i="18"/>
  <c r="U11" i="18"/>
  <c r="W11" i="18"/>
  <c r="U12" i="18"/>
  <c r="W12" i="18"/>
  <c r="U13" i="18"/>
  <c r="Z13" i="18" s="1"/>
  <c r="W13" i="18"/>
  <c r="U14" i="18"/>
  <c r="Z14" i="18" s="1"/>
  <c r="W14" i="18"/>
  <c r="U15" i="18"/>
  <c r="Z15" i="18" s="1"/>
  <c r="W15" i="18"/>
  <c r="U16" i="18"/>
  <c r="W16" i="18"/>
  <c r="AJ16" i="18"/>
  <c r="AJ19" i="18"/>
  <c r="X19" i="18"/>
  <c r="V19" i="18"/>
  <c r="W19" i="18"/>
  <c r="U19" i="18"/>
  <c r="Z19" i="18" s="1"/>
  <c r="U20" i="18"/>
  <c r="Z20" i="18" s="1"/>
  <c r="W20" i="18"/>
  <c r="U21" i="18"/>
  <c r="W21" i="18"/>
  <c r="U22" i="18"/>
  <c r="Z22" i="18" s="1"/>
  <c r="W22" i="18"/>
  <c r="U23" i="18"/>
  <c r="Z23" i="18" s="1"/>
  <c r="W23" i="18"/>
  <c r="U24" i="18"/>
  <c r="Z24" i="18" s="1"/>
  <c r="W24" i="18"/>
  <c r="U25" i="18"/>
  <c r="Z25" i="18" s="1"/>
  <c r="W25" i="18"/>
  <c r="U26" i="18"/>
  <c r="Z26" i="18" s="1"/>
  <c r="W26" i="18"/>
  <c r="U27" i="18"/>
  <c r="Z27" i="18" s="1"/>
  <c r="W27" i="18"/>
  <c r="U28" i="18"/>
  <c r="Z28" i="18" s="1"/>
  <c r="W28" i="18"/>
  <c r="U29" i="18"/>
  <c r="W29" i="18"/>
  <c r="U30" i="18"/>
  <c r="Z30" i="18" s="1"/>
  <c r="W30" i="18"/>
  <c r="U31" i="18"/>
  <c r="Z31" i="18" s="1"/>
  <c r="W31" i="18"/>
  <c r="U32" i="18"/>
  <c r="W32" i="18"/>
  <c r="U33" i="18"/>
  <c r="Z33" i="18" s="1"/>
  <c r="W33" i="18"/>
  <c r="U34" i="18"/>
  <c r="Z34" i="18" s="1"/>
  <c r="W34" i="18"/>
  <c r="AJ35" i="18"/>
  <c r="U17" i="18"/>
  <c r="Z17" i="18" s="1"/>
  <c r="W17" i="18"/>
  <c r="V18" i="18"/>
  <c r="X18" i="18"/>
  <c r="V20" i="18"/>
  <c r="X20" i="18"/>
  <c r="V21" i="18"/>
  <c r="X21" i="18"/>
  <c r="V22" i="18"/>
  <c r="X22" i="18"/>
  <c r="V23" i="18"/>
  <c r="X23" i="18"/>
  <c r="V24" i="18"/>
  <c r="X24" i="18"/>
  <c r="V25" i="18"/>
  <c r="X25" i="18"/>
  <c r="V26" i="18"/>
  <c r="X26" i="18"/>
  <c r="V27" i="18"/>
  <c r="X27" i="18"/>
  <c r="V28" i="18"/>
  <c r="X28" i="18"/>
  <c r="V29" i="18"/>
  <c r="X29" i="18"/>
  <c r="V30" i="18"/>
  <c r="X30" i="18"/>
  <c r="V31" i="18"/>
  <c r="X31" i="18"/>
  <c r="V32" i="18"/>
  <c r="X32" i="18"/>
  <c r="V33" i="18"/>
  <c r="X33" i="18"/>
  <c r="V34" i="18"/>
  <c r="X34" i="18"/>
  <c r="U35" i="18"/>
  <c r="Z35" i="18" s="1"/>
  <c r="W35" i="18"/>
  <c r="Z16" i="18" l="1"/>
  <c r="Z12" i="18"/>
  <c r="Z11" i="18"/>
  <c r="Z10" i="18"/>
  <c r="Z29" i="18"/>
  <c r="Z21" i="18"/>
  <c r="Z32" i="18"/>
  <c r="S36" i="2"/>
  <c r="T36" i="2" s="1"/>
  <c r="U36" i="2" s="1"/>
  <c r="P36" i="2"/>
  <c r="Q36" i="2" s="1"/>
  <c r="AJ40" i="18"/>
  <c r="AJ42" i="18" s="1"/>
  <c r="U40" i="18"/>
  <c r="U42" i="18" s="1"/>
  <c r="V40" i="18"/>
  <c r="V42" i="18" s="1"/>
  <c r="AO40" i="18"/>
  <c r="AO42" i="18" s="1"/>
  <c r="W40" i="18"/>
  <c r="X40" i="18"/>
  <c r="Y36" i="18"/>
  <c r="AA36" i="18" s="1"/>
  <c r="Y35" i="18"/>
  <c r="AA35" i="18" s="1"/>
  <c r="Y17" i="18"/>
  <c r="AA17" i="18" s="1"/>
  <c r="Y25" i="18"/>
  <c r="AA25" i="18" s="1"/>
  <c r="Y34" i="18"/>
  <c r="AA34" i="18" s="1"/>
  <c r="Y32" i="18"/>
  <c r="AA32" i="18" s="1"/>
  <c r="Y30" i="18"/>
  <c r="AA30" i="18" s="1"/>
  <c r="Y28" i="18"/>
  <c r="AA28" i="18" s="1"/>
  <c r="Y26" i="18"/>
  <c r="AA26" i="18" s="1"/>
  <c r="Y24" i="18"/>
  <c r="AA24" i="18" s="1"/>
  <c r="Y22" i="18"/>
  <c r="AA22" i="18" s="1"/>
  <c r="Y20" i="18"/>
  <c r="AA20" i="18" s="1"/>
  <c r="Y15" i="18"/>
  <c r="AA15" i="18" s="1"/>
  <c r="Y13" i="18"/>
  <c r="AA13" i="18" s="1"/>
  <c r="Y8" i="18"/>
  <c r="AA8" i="18" s="1"/>
  <c r="Y18" i="18"/>
  <c r="AA18" i="18" s="1"/>
  <c r="Y33" i="18"/>
  <c r="AA33" i="18" s="1"/>
  <c r="Y31" i="18"/>
  <c r="AA31" i="18" s="1"/>
  <c r="Y29" i="18"/>
  <c r="AA29" i="18" s="1"/>
  <c r="Y27" i="18"/>
  <c r="AA27" i="18" s="1"/>
  <c r="Y23" i="18"/>
  <c r="AA23" i="18" s="1"/>
  <c r="Y21" i="18"/>
  <c r="AA21" i="18" s="1"/>
  <c r="Y19" i="18"/>
  <c r="AA19" i="18" s="1"/>
  <c r="Y16" i="18"/>
  <c r="AA16" i="18" s="1"/>
  <c r="Y14" i="18"/>
  <c r="AA14" i="18" s="1"/>
  <c r="Y12" i="18"/>
  <c r="AA12" i="18" s="1"/>
  <c r="Y11" i="18"/>
  <c r="AA11" i="18" s="1"/>
  <c r="Y10" i="18"/>
  <c r="AA10" i="18" s="1"/>
  <c r="Y9" i="18"/>
  <c r="AA9" i="18" s="1"/>
  <c r="Y7" i="18"/>
  <c r="AA7" i="18" s="1"/>
  <c r="Y6" i="18"/>
  <c r="Z40" i="18" l="1"/>
  <c r="Z42" i="18" s="1"/>
  <c r="Y40" i="18"/>
  <c r="AB36" i="18"/>
  <c r="V36" i="2"/>
  <c r="AB9" i="18"/>
  <c r="AA6" i="18"/>
  <c r="AB7" i="18"/>
  <c r="AB10" i="18"/>
  <c r="AB11" i="18"/>
  <c r="AB12" i="18"/>
  <c r="AB14" i="18"/>
  <c r="AB16" i="18"/>
  <c r="AB19" i="18"/>
  <c r="AB21" i="18"/>
  <c r="AB23" i="18"/>
  <c r="AB27" i="18"/>
  <c r="AB29" i="18"/>
  <c r="AB31" i="18"/>
  <c r="AB33" i="18"/>
  <c r="AB18" i="18"/>
  <c r="AB8" i="18"/>
  <c r="AB17" i="18"/>
  <c r="AB35" i="18"/>
  <c r="AT35" i="18" s="1"/>
  <c r="AB13" i="18"/>
  <c r="AT13" i="18" s="1"/>
  <c r="AB15" i="18"/>
  <c r="AB20" i="18"/>
  <c r="AB22" i="18"/>
  <c r="AB24" i="18"/>
  <c r="AB26" i="18"/>
  <c r="AB28" i="18"/>
  <c r="AB30" i="18"/>
  <c r="AB32" i="18"/>
  <c r="AB34" i="18"/>
  <c r="AB25" i="18"/>
  <c r="AH27" i="18" l="1"/>
  <c r="AS27" i="18"/>
  <c r="AT27" i="18"/>
  <c r="AH10" i="18"/>
  <c r="AS10" i="18"/>
  <c r="AT10" i="18"/>
  <c r="AH30" i="18"/>
  <c r="AS30" i="18"/>
  <c r="AT30" i="18"/>
  <c r="AH22" i="18"/>
  <c r="AS22" i="18"/>
  <c r="AT22" i="18"/>
  <c r="AH33" i="18"/>
  <c r="AS33" i="18"/>
  <c r="AT33" i="18"/>
  <c r="AH14" i="18"/>
  <c r="AT14" i="18"/>
  <c r="AH7" i="18"/>
  <c r="AS7" i="18"/>
  <c r="AT7" i="18"/>
  <c r="AS36" i="18"/>
  <c r="AT36" i="18"/>
  <c r="AH34" i="18"/>
  <c r="AS34" i="18"/>
  <c r="AT34" i="18"/>
  <c r="AH15" i="18"/>
  <c r="AS15" i="18"/>
  <c r="AT15" i="18"/>
  <c r="AH8" i="18"/>
  <c r="AS8" i="18"/>
  <c r="AT8" i="18"/>
  <c r="AH32" i="18"/>
  <c r="AS32" i="18"/>
  <c r="AT32" i="18"/>
  <c r="AH24" i="18"/>
  <c r="AS24" i="18"/>
  <c r="AT24" i="18"/>
  <c r="AH18" i="18"/>
  <c r="AS18" i="18"/>
  <c r="AT18" i="18"/>
  <c r="AH16" i="18"/>
  <c r="AS16" i="18"/>
  <c r="AT16" i="18"/>
  <c r="AH23" i="18"/>
  <c r="AS23" i="18"/>
  <c r="AT23" i="18"/>
  <c r="AH25" i="18"/>
  <c r="AS25" i="18"/>
  <c r="AT25" i="18"/>
  <c r="AH28" i="18"/>
  <c r="AS28" i="18"/>
  <c r="AT28" i="18"/>
  <c r="AH20" i="18"/>
  <c r="AS20" i="18"/>
  <c r="AT20" i="18"/>
  <c r="AH17" i="18"/>
  <c r="AT17" i="18"/>
  <c r="AH31" i="18"/>
  <c r="AS31" i="18"/>
  <c r="AT31" i="18"/>
  <c r="AH21" i="18"/>
  <c r="AS21" i="18"/>
  <c r="AH12" i="18"/>
  <c r="AS12" i="18"/>
  <c r="AH26" i="18"/>
  <c r="AS26" i="18"/>
  <c r="AT26" i="18"/>
  <c r="AH29" i="18"/>
  <c r="AS29" i="18"/>
  <c r="AH19" i="18"/>
  <c r="AS19" i="18"/>
  <c r="AT19" i="18"/>
  <c r="AH11" i="18"/>
  <c r="AS11" i="18"/>
  <c r="AT11" i="18"/>
  <c r="AH9" i="18"/>
  <c r="AS9" i="18"/>
  <c r="AT9" i="18"/>
  <c r="AH36" i="18"/>
  <c r="AD36" i="18"/>
  <c r="AD13" i="18"/>
  <c r="AH13" i="18"/>
  <c r="AC17" i="18"/>
  <c r="AC14" i="18"/>
  <c r="AC7" i="18"/>
  <c r="AC13" i="18"/>
  <c r="AC8" i="18"/>
  <c r="AA40" i="18"/>
  <c r="AA42" i="18" s="1"/>
  <c r="AC34" i="18"/>
  <c r="AC26" i="18"/>
  <c r="AC15" i="18"/>
  <c r="AC31" i="18"/>
  <c r="AC25" i="18"/>
  <c r="AC32" i="18"/>
  <c r="AC28" i="18"/>
  <c r="AC24" i="18"/>
  <c r="AC20" i="18"/>
  <c r="AH35" i="18"/>
  <c r="AC35" i="18"/>
  <c r="AC33" i="18"/>
  <c r="AC23" i="18"/>
  <c r="AC16" i="18"/>
  <c r="AC10" i="18"/>
  <c r="AC30" i="18"/>
  <c r="AC22" i="18"/>
  <c r="AC18" i="18"/>
  <c r="AC27" i="18"/>
  <c r="AC19" i="18"/>
  <c r="AC11" i="18"/>
  <c r="AC9" i="18"/>
  <c r="AC36" i="18"/>
  <c r="AD17" i="18"/>
  <c r="AD14" i="18"/>
  <c r="AG36" i="18"/>
  <c r="AD8" i="18"/>
  <c r="AD7" i="18"/>
  <c r="AB6" i="18"/>
  <c r="AG17" i="18"/>
  <c r="AD35" i="18"/>
  <c r="AG35" i="18"/>
  <c r="AG8" i="18"/>
  <c r="AD25" i="18"/>
  <c r="AG25" i="18"/>
  <c r="AD32" i="18"/>
  <c r="AG32" i="18"/>
  <c r="AD28" i="18"/>
  <c r="AG28" i="18"/>
  <c r="AD24" i="18"/>
  <c r="AG24" i="18"/>
  <c r="AD34" i="18"/>
  <c r="AG34" i="18"/>
  <c r="AD30" i="18"/>
  <c r="AG30" i="18"/>
  <c r="AD26" i="18"/>
  <c r="AG26" i="18"/>
  <c r="AD22" i="18"/>
  <c r="AG22" i="18"/>
  <c r="AD20" i="18"/>
  <c r="AG20" i="18"/>
  <c r="AD15" i="18"/>
  <c r="AG15" i="18"/>
  <c r="AG13" i="18"/>
  <c r="AG18" i="18"/>
  <c r="AD18" i="18"/>
  <c r="AD33" i="18"/>
  <c r="AG33" i="18"/>
  <c r="AD31" i="18"/>
  <c r="AG31" i="18"/>
  <c r="AD29" i="18"/>
  <c r="AD27" i="18"/>
  <c r="AG27" i="18"/>
  <c r="AD23" i="18"/>
  <c r="AG23" i="18"/>
  <c r="AD21" i="18"/>
  <c r="AD19" i="18"/>
  <c r="AG19" i="18"/>
  <c r="AD16" i="18"/>
  <c r="AG16" i="18"/>
  <c r="AG14" i="18"/>
  <c r="AD12" i="18"/>
  <c r="AD11" i="18"/>
  <c r="AG11" i="18"/>
  <c r="AD10" i="18"/>
  <c r="AG10" i="18"/>
  <c r="AG7" i="18"/>
  <c r="AD9" i="18"/>
  <c r="AG9" i="18"/>
  <c r="AH6" i="18" l="1"/>
  <c r="AD6" i="18"/>
  <c r="AS6" i="18"/>
  <c r="AC6" i="18"/>
  <c r="AC40" i="18" s="1"/>
  <c r="AT6" i="18"/>
  <c r="AM13" i="18"/>
  <c r="AN13" i="18" s="1"/>
  <c r="AM36" i="18"/>
  <c r="AN36" i="18" s="1"/>
  <c r="AF7" i="18"/>
  <c r="AM9" i="18"/>
  <c r="AN9" i="18" s="1"/>
  <c r="AB40" i="18"/>
  <c r="AB42" i="18" s="1"/>
  <c r="AF12" i="18"/>
  <c r="AF29" i="18"/>
  <c r="AF21" i="18"/>
  <c r="AF10" i="18"/>
  <c r="AF23" i="18"/>
  <c r="AF33" i="18"/>
  <c r="AF26" i="18"/>
  <c r="AF34" i="18"/>
  <c r="AF28" i="18"/>
  <c r="AF25" i="18"/>
  <c r="AF27" i="18"/>
  <c r="AF22" i="18"/>
  <c r="AF30" i="18"/>
  <c r="AF24" i="18"/>
  <c r="AF32" i="18"/>
  <c r="AF36" i="18"/>
  <c r="AF20" i="18"/>
  <c r="AG6" i="18"/>
  <c r="AG40" i="18" s="1"/>
  <c r="AG42" i="18" s="1"/>
  <c r="AM15" i="18"/>
  <c r="AN15" i="18" s="1"/>
  <c r="AF8" i="18"/>
  <c r="AF35" i="18"/>
  <c r="AM17" i="18"/>
  <c r="AN17" i="18" s="1"/>
  <c r="AM16" i="18"/>
  <c r="AN16" i="18" s="1"/>
  <c r="AM23" i="18"/>
  <c r="AN23" i="18" s="1"/>
  <c r="AM33" i="18"/>
  <c r="AN33" i="18" s="1"/>
  <c r="AF18" i="18"/>
  <c r="AF17" i="18"/>
  <c r="AF9" i="18"/>
  <c r="AF19" i="18"/>
  <c r="AF31" i="18"/>
  <c r="AF16" i="18"/>
  <c r="AM12" i="18"/>
  <c r="AN12" i="18" s="1"/>
  <c r="AM10" i="18"/>
  <c r="AN10" i="18" s="1"/>
  <c r="AM11" i="18"/>
  <c r="AN11" i="18" s="1"/>
  <c r="AF14" i="18"/>
  <c r="AM21" i="18"/>
  <c r="AN21" i="18" s="1"/>
  <c r="AM29" i="18"/>
  <c r="AN29" i="18" s="1"/>
  <c r="AM7" i="18"/>
  <c r="AN7" i="18" s="1"/>
  <c r="AF11" i="18"/>
  <c r="AM14" i="18"/>
  <c r="AN14" i="18" s="1"/>
  <c r="AM19" i="18"/>
  <c r="AN19" i="18" s="1"/>
  <c r="AM27" i="18"/>
  <c r="AN27" i="18" s="1"/>
  <c r="AM31" i="18"/>
  <c r="AN31" i="18" s="1"/>
  <c r="AF13" i="18"/>
  <c r="AF15" i="18"/>
  <c r="AM18" i="18"/>
  <c r="AN18" i="18" s="1"/>
  <c r="AM20" i="18"/>
  <c r="AN20" i="18" s="1"/>
  <c r="AM22" i="18"/>
  <c r="AN22" i="18" s="1"/>
  <c r="AM26" i="18"/>
  <c r="AN26" i="18" s="1"/>
  <c r="AM30" i="18"/>
  <c r="AN30" i="18" s="1"/>
  <c r="AM34" i="18"/>
  <c r="AN34" i="18" s="1"/>
  <c r="AM24" i="18"/>
  <c r="AN24" i="18" s="1"/>
  <c r="AM28" i="18"/>
  <c r="AN28" i="18" s="1"/>
  <c r="AM32" i="18"/>
  <c r="AN32" i="18" s="1"/>
  <c r="AM25" i="18"/>
  <c r="AN25" i="18" s="1"/>
  <c r="AM8" i="18"/>
  <c r="AN8" i="18" s="1"/>
  <c r="AM35" i="18"/>
  <c r="AN35" i="18" s="1"/>
  <c r="AP30" i="18" l="1"/>
  <c r="AQ30" i="18" s="1"/>
  <c r="AR30" i="18" s="1"/>
  <c r="AP18" i="18"/>
  <c r="AQ18" i="18" s="1"/>
  <c r="AR18" i="18" s="1"/>
  <c r="AP27" i="18"/>
  <c r="AQ27" i="18" s="1"/>
  <c r="AR27" i="18" s="1"/>
  <c r="AP7" i="18"/>
  <c r="AQ7" i="18" s="1"/>
  <c r="AR7" i="18" s="1"/>
  <c r="AP11" i="18"/>
  <c r="AQ11" i="18" s="1"/>
  <c r="AR11" i="18" s="1"/>
  <c r="AP17" i="18"/>
  <c r="AQ17" i="18" s="1"/>
  <c r="AR17" i="18" s="1"/>
  <c r="AP9" i="18"/>
  <c r="AQ9" i="18" s="1"/>
  <c r="AR9" i="18" s="1"/>
  <c r="AP28" i="18"/>
  <c r="AQ28" i="18" s="1"/>
  <c r="AR28" i="18" s="1"/>
  <c r="AP29" i="18"/>
  <c r="AQ29" i="18" s="1"/>
  <c r="AR29" i="18" s="1"/>
  <c r="AP10" i="18"/>
  <c r="AQ10" i="18" s="1"/>
  <c r="AR10" i="18" s="1"/>
  <c r="AP33" i="18"/>
  <c r="AQ33" i="18" s="1"/>
  <c r="AR33" i="18" s="1"/>
  <c r="AP8" i="18"/>
  <c r="AQ8" i="18" s="1"/>
  <c r="AR8" i="18" s="1"/>
  <c r="AP21" i="18"/>
  <c r="AQ21" i="18" s="1"/>
  <c r="AR21" i="18" s="1"/>
  <c r="AP12" i="18"/>
  <c r="AQ12" i="18" s="1"/>
  <c r="AR12" i="18" s="1"/>
  <c r="AP23" i="18"/>
  <c r="AQ23" i="18" s="1"/>
  <c r="AR23" i="18" s="1"/>
  <c r="AP36" i="18"/>
  <c r="AQ36" i="18" s="1"/>
  <c r="AR36" i="18" s="1"/>
  <c r="AP32" i="18"/>
  <c r="AP35" i="18"/>
  <c r="AQ35" i="18" s="1"/>
  <c r="AR35" i="18" s="1"/>
  <c r="AP26" i="18"/>
  <c r="AQ26" i="18" s="1"/>
  <c r="AR26" i="18" s="1"/>
  <c r="AP19" i="18"/>
  <c r="AQ19" i="18" s="1"/>
  <c r="AR19" i="18" s="1"/>
  <c r="AP24" i="18"/>
  <c r="AQ24" i="18" s="1"/>
  <c r="AR24" i="18" s="1"/>
  <c r="AP22" i="18"/>
  <c r="AQ22" i="18" s="1"/>
  <c r="AR22" i="18" s="1"/>
  <c r="AP14" i="18"/>
  <c r="AQ14" i="18" s="1"/>
  <c r="AR14" i="18" s="1"/>
  <c r="AP25" i="18"/>
  <c r="AQ25" i="18" s="1"/>
  <c r="AR25" i="18" s="1"/>
  <c r="AP34" i="18"/>
  <c r="AQ34" i="18" s="1"/>
  <c r="AR34" i="18" s="1"/>
  <c r="AP20" i="18"/>
  <c r="AQ20" i="18" s="1"/>
  <c r="AR20" i="18" s="1"/>
  <c r="AP31" i="18"/>
  <c r="AQ31" i="18" s="1"/>
  <c r="AR31" i="18" s="1"/>
  <c r="AP16" i="18"/>
  <c r="AQ16" i="18" s="1"/>
  <c r="AR16" i="18" s="1"/>
  <c r="AP15" i="18"/>
  <c r="AQ15" i="18" s="1"/>
  <c r="AR15" i="18" s="1"/>
  <c r="AP13" i="18"/>
  <c r="AQ13" i="18" s="1"/>
  <c r="AR13" i="18" s="1"/>
  <c r="AH40" i="18"/>
  <c r="AH42" i="18" s="1"/>
  <c r="AD40" i="18"/>
  <c r="AQ32" i="18"/>
  <c r="AR32" i="18" s="1"/>
  <c r="AF6" i="18"/>
  <c r="AM6" i="18"/>
  <c r="AM40" i="18" s="1"/>
  <c r="AM42" i="18" s="1"/>
  <c r="AN6" i="18" l="1"/>
  <c r="AF40" i="18"/>
  <c r="AN40" i="18" l="1"/>
  <c r="AN42" i="18" s="1"/>
  <c r="AP6" i="18"/>
  <c r="AQ6" i="18" s="1"/>
  <c r="AP40" i="18" l="1"/>
  <c r="AQ40" i="18"/>
  <c r="AR6" i="18"/>
  <c r="AR40" i="18" l="1"/>
  <c r="S10" i="2"/>
  <c r="P10" i="2"/>
  <c r="Q10" i="2" s="1"/>
  <c r="S22" i="2"/>
  <c r="P22" i="2"/>
  <c r="Q22" i="2" s="1"/>
  <c r="T22" i="2" l="1"/>
  <c r="U22" i="2" s="1"/>
  <c r="V22" i="2" s="1"/>
  <c r="T10" i="2"/>
  <c r="U10" i="2" s="1"/>
  <c r="V10" i="2" s="1"/>
  <c r="S13" i="2"/>
  <c r="T13" i="2" s="1"/>
  <c r="U13" i="2" s="1"/>
  <c r="P13" i="2"/>
  <c r="Q13" i="2" s="1"/>
  <c r="P15" i="2"/>
  <c r="Q15" i="2" s="1"/>
  <c r="P23" i="2"/>
  <c r="Q23" i="2" s="1"/>
  <c r="P27" i="2"/>
  <c r="Q27" i="2" s="1"/>
  <c r="P8" i="2"/>
  <c r="Q8" i="2" s="1"/>
  <c r="P9" i="2"/>
  <c r="Q9" i="2" s="1"/>
  <c r="P19" i="2"/>
  <c r="Q19" i="2" s="1"/>
  <c r="P20" i="2"/>
  <c r="Q20" i="2" s="1"/>
  <c r="S31" i="2"/>
  <c r="P31" i="2"/>
  <c r="Q31" i="2" s="1"/>
  <c r="S33" i="2"/>
  <c r="P33" i="2"/>
  <c r="Q33" i="2" s="1"/>
  <c r="P11" i="2"/>
  <c r="Q11" i="2" s="1"/>
  <c r="S14" i="2"/>
  <c r="P14" i="2"/>
  <c r="Q14" i="2" s="1"/>
  <c r="S16" i="2"/>
  <c r="P16" i="2"/>
  <c r="Q16" i="2" s="1"/>
  <c r="P24" i="2"/>
  <c r="Q24" i="2" s="1"/>
  <c r="P26" i="2"/>
  <c r="Q26" i="2" s="1"/>
  <c r="S28" i="2"/>
  <c r="P28" i="2"/>
  <c r="Q28" i="2" s="1"/>
  <c r="P7" i="2"/>
  <c r="S17" i="2"/>
  <c r="P17" i="2"/>
  <c r="Q17" i="2" s="1"/>
  <c r="P18" i="2"/>
  <c r="Q18" i="2" s="1"/>
  <c r="S32" i="2"/>
  <c r="P32" i="2"/>
  <c r="Q32" i="2" s="1"/>
  <c r="P34" i="2"/>
  <c r="Q34" i="2" s="1"/>
  <c r="S35" i="2"/>
  <c r="P35" i="2"/>
  <c r="Q35" i="2" s="1"/>
  <c r="S30" i="2"/>
  <c r="P30" i="2"/>
  <c r="Q30" i="2" s="1"/>
  <c r="P25" i="2"/>
  <c r="Q25" i="2" s="1"/>
  <c r="S23" i="2"/>
  <c r="S11" i="2"/>
  <c r="S24" i="2"/>
  <c r="S8" i="2"/>
  <c r="S20" i="2"/>
  <c r="S27" i="2"/>
  <c r="S15" i="2"/>
  <c r="S25" i="2"/>
  <c r="Q29" i="2"/>
  <c r="S29" i="2"/>
  <c r="S18" i="2"/>
  <c r="Q21" i="2"/>
  <c r="S21" i="2"/>
  <c r="S34" i="2"/>
  <c r="S12" i="2"/>
  <c r="Q12" i="2"/>
  <c r="S26" i="2"/>
  <c r="S9" i="2"/>
  <c r="S19" i="2"/>
  <c r="T34" i="2" l="1"/>
  <c r="U34" i="2" s="1"/>
  <c r="V34" i="2" s="1"/>
  <c r="T30" i="2"/>
  <c r="U30" i="2" s="1"/>
  <c r="V30" i="2" s="1"/>
  <c r="T33" i="2"/>
  <c r="U33" i="2" s="1"/>
  <c r="V33" i="2" s="1"/>
  <c r="T14" i="2"/>
  <c r="U14" i="2" s="1"/>
  <c r="V14" i="2" s="1"/>
  <c r="T29" i="2"/>
  <c r="U29" i="2" s="1"/>
  <c r="V29" i="2" s="1"/>
  <c r="T11" i="2"/>
  <c r="U11" i="2" s="1"/>
  <c r="V11" i="2" s="1"/>
  <c r="T23" i="2"/>
  <c r="U23" i="2" s="1"/>
  <c r="V23" i="2" s="1"/>
  <c r="T32" i="2"/>
  <c r="U32" i="2" s="1"/>
  <c r="T19" i="2"/>
  <c r="U19" i="2" s="1"/>
  <c r="T12" i="2"/>
  <c r="U12" i="2" s="1"/>
  <c r="V12" i="2" s="1"/>
  <c r="T25" i="2"/>
  <c r="U25" i="2" s="1"/>
  <c r="V25" i="2" s="1"/>
  <c r="T8" i="2"/>
  <c r="U8" i="2" s="1"/>
  <c r="V8" i="2" s="1"/>
  <c r="T35" i="2"/>
  <c r="U35" i="2" s="1"/>
  <c r="V35" i="2" s="1"/>
  <c r="T31" i="2"/>
  <c r="U31" i="2" s="1"/>
  <c r="V31" i="2" s="1"/>
  <c r="T26" i="2"/>
  <c r="U26" i="2" s="1"/>
  <c r="V26" i="2" s="1"/>
  <c r="T27" i="2"/>
  <c r="U27" i="2" s="1"/>
  <c r="V27" i="2" s="1"/>
  <c r="T17" i="2"/>
  <c r="U17" i="2" s="1"/>
  <c r="V17" i="2" s="1"/>
  <c r="T21" i="2"/>
  <c r="U21" i="2" s="1"/>
  <c r="V21" i="2" s="1"/>
  <c r="T20" i="2"/>
  <c r="U20" i="2" s="1"/>
  <c r="V20" i="2" s="1"/>
  <c r="T9" i="2"/>
  <c r="U9" i="2" s="1"/>
  <c r="V9" i="2" s="1"/>
  <c r="T18" i="2"/>
  <c r="U18" i="2" s="1"/>
  <c r="V18" i="2" s="1"/>
  <c r="T15" i="2"/>
  <c r="U15" i="2" s="1"/>
  <c r="V15" i="2" s="1"/>
  <c r="T24" i="2"/>
  <c r="U24" i="2" s="1"/>
  <c r="T28" i="2"/>
  <c r="U28" i="2" s="1"/>
  <c r="V28" i="2" s="1"/>
  <c r="T16" i="2"/>
  <c r="U16" i="2" s="1"/>
  <c r="V16" i="2" s="1"/>
  <c r="Q7" i="2"/>
  <c r="S7" i="2"/>
  <c r="V13" i="2"/>
  <c r="V19" i="2" l="1"/>
  <c r="V32" i="2"/>
  <c r="V24" i="2"/>
  <c r="T7" i="2"/>
  <c r="AL10" i="17"/>
  <c r="AK10" i="17"/>
  <c r="AI10" i="17"/>
  <c r="AE10" i="17"/>
  <c r="Z10" i="17"/>
  <c r="S10" i="17"/>
  <c r="R10" i="17"/>
  <c r="Q10" i="17"/>
  <c r="P10" i="17"/>
  <c r="N10" i="17"/>
  <c r="M10" i="17"/>
  <c r="L10" i="17"/>
  <c r="T8" i="17"/>
  <c r="O8" i="17"/>
  <c r="AJ8" i="17" s="1"/>
  <c r="T7" i="17"/>
  <c r="O7" i="17"/>
  <c r="AO7" i="17" s="1"/>
  <c r="T6" i="17"/>
  <c r="O6" i="17"/>
  <c r="AJ6" i="17" s="1"/>
  <c r="N39" i="2"/>
  <c r="R6" i="2"/>
  <c r="L39" i="2" l="1"/>
  <c r="U7" i="2"/>
  <c r="V7" i="2" s="1"/>
  <c r="T10" i="17"/>
  <c r="X6" i="17"/>
  <c r="O10" i="17"/>
  <c r="V6" i="17"/>
  <c r="AO6" i="17"/>
  <c r="U7" i="17"/>
  <c r="W7" i="17"/>
  <c r="AJ7" i="17"/>
  <c r="V8" i="17"/>
  <c r="AO8" i="17"/>
  <c r="U6" i="17"/>
  <c r="W6" i="17"/>
  <c r="V7" i="17"/>
  <c r="X7" i="17"/>
  <c r="X10" i="17" s="1"/>
  <c r="U8" i="17"/>
  <c r="O39" i="2" l="1"/>
  <c r="O41" i="2" s="1"/>
  <c r="P6" i="2"/>
  <c r="P39" i="2" s="1"/>
  <c r="R39" i="2"/>
  <c r="R41" i="2" s="1"/>
  <c r="Y8" i="17"/>
  <c r="AA8" i="17" s="1"/>
  <c r="AB8" i="17" s="1"/>
  <c r="V10" i="17"/>
  <c r="Y6" i="17"/>
  <c r="AA6" i="17" s="1"/>
  <c r="AB6" i="17" s="1"/>
  <c r="U10" i="17"/>
  <c r="AJ10" i="17"/>
  <c r="Y7" i="17"/>
  <c r="W10" i="17"/>
  <c r="AO10" i="17"/>
  <c r="Q6" i="2" l="1"/>
  <c r="Q39" i="2" s="1"/>
  <c r="S6" i="2"/>
  <c r="AG8" i="17"/>
  <c r="AD8" i="17"/>
  <c r="AH8" i="17"/>
  <c r="AC8" i="17"/>
  <c r="AG6" i="17"/>
  <c r="AD6" i="17"/>
  <c r="AH6" i="17"/>
  <c r="AC6" i="17"/>
  <c r="AA7" i="17"/>
  <c r="AB7" i="17" s="1"/>
  <c r="Y10" i="17"/>
  <c r="S39" i="2" l="1"/>
  <c r="T6" i="2"/>
  <c r="T39" i="2" s="1"/>
  <c r="AF6" i="17"/>
  <c r="AF8" i="17"/>
  <c r="AA10" i="17"/>
  <c r="AM8" i="17"/>
  <c r="AN8" i="17" s="1"/>
  <c r="AP8" i="17" s="1"/>
  <c r="AB10" i="17"/>
  <c r="AH7" i="17"/>
  <c r="AG7" i="17"/>
  <c r="AD7" i="17"/>
  <c r="AC7" i="17"/>
  <c r="AM6" i="17"/>
  <c r="AN6" i="17" s="1"/>
  <c r="AP6" i="17" s="1"/>
  <c r="U6" i="2" l="1"/>
  <c r="U39" i="2" s="1"/>
  <c r="AF7" i="17"/>
  <c r="AM7" i="17"/>
  <c r="AN7" i="17" s="1"/>
  <c r="AP7" i="17" s="1"/>
  <c r="AQ7" i="17" s="1"/>
  <c r="AR7" i="17" s="1"/>
  <c r="AQ6" i="17"/>
  <c r="AR6" i="17" s="1"/>
  <c r="AQ8" i="17"/>
  <c r="AR8" i="17" s="1"/>
  <c r="AC10" i="17"/>
  <c r="AH10" i="17"/>
  <c r="AD10" i="17"/>
  <c r="AG10" i="17"/>
  <c r="AF10" i="17"/>
  <c r="V6" i="2" l="1"/>
  <c r="V39" i="2" s="1"/>
  <c r="AM10" i="17"/>
  <c r="AN10" i="17" l="1"/>
  <c r="AP10" i="17" l="1"/>
  <c r="AQ10" i="17"/>
  <c r="AR10" i="17" l="1"/>
  <c r="K2" i="14" l="1"/>
  <c r="L2" i="12"/>
  <c r="AN8" i="11"/>
  <c r="AK8" i="11"/>
  <c r="AJ8" i="11"/>
  <c r="AI8" i="11"/>
  <c r="AE8" i="11"/>
  <c r="Z8" i="11"/>
  <c r="S8" i="11"/>
  <c r="R8" i="11"/>
  <c r="Q8" i="11"/>
  <c r="P8" i="11"/>
  <c r="N8" i="11"/>
  <c r="M8" i="11"/>
  <c r="L8" i="11"/>
  <c r="T6" i="11"/>
  <c r="T8" i="11" s="1"/>
  <c r="O6" i="11"/>
  <c r="X6" i="11" s="1"/>
  <c r="X8" i="11" s="1"/>
  <c r="V6" i="11" l="1"/>
  <c r="V8" i="11" s="1"/>
  <c r="O8" i="11"/>
  <c r="U6" i="11"/>
  <c r="AH6" i="11" s="1"/>
  <c r="AH8" i="11" s="1"/>
  <c r="W6" i="11"/>
  <c r="W8" i="11" s="1"/>
  <c r="U8" i="11" l="1"/>
  <c r="AD6" i="11"/>
  <c r="AD8" i="11" s="1"/>
  <c r="Y6" i="11"/>
  <c r="Y8" i="11" l="1"/>
  <c r="AA6" i="11"/>
  <c r="AA8" i="11" s="1"/>
  <c r="AB6" i="11" l="1"/>
  <c r="AG6" i="11" s="1"/>
  <c r="AB8" i="11" l="1"/>
  <c r="AC6" i="11"/>
  <c r="AC8" i="11" s="1"/>
  <c r="AG8" i="11"/>
  <c r="AL6" i="11"/>
  <c r="AF6" i="11" l="1"/>
  <c r="AF8" i="11" s="1"/>
  <c r="AL8" i="11"/>
  <c r="AM6" i="11"/>
  <c r="AO6" i="11" l="1"/>
  <c r="AM8" i="11"/>
  <c r="AP6" i="11" l="1"/>
  <c r="AP8" i="11" s="1"/>
  <c r="AO8" i="11"/>
  <c r="AQ6" i="11" l="1"/>
  <c r="AQ8" i="11" s="1"/>
</calcChain>
</file>

<file path=xl/sharedStrings.xml><?xml version="1.0" encoding="utf-8"?>
<sst xmlns="http://schemas.openxmlformats.org/spreadsheetml/2006/main" count="619" uniqueCount="262">
  <si>
    <t xml:space="preserve">Location </t>
  </si>
  <si>
    <t>DEL096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</si>
  <si>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</si>
  <si>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</si>
  <si>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</si>
  <si>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</si>
  <si>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</si>
  <si>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</si>
  <si>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DHL-Okhla-A-185-Lenovo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</si>
  <si>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</si>
  <si>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</si>
  <si>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</si>
  <si>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</si>
  <si>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</si>
  <si>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</si>
  <si>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</si>
  <si>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</si>
  <si>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</si>
  <si>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</si>
  <si>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</si>
  <si>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</si>
  <si>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</si>
  <si>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</si>
  <si>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</si>
  <si>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Project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</si>
  <si>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</si>
  <si>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</si>
  <si>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</si>
  <si>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</si>
  <si>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</si>
  <si>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</si>
  <si>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</si>
  <si>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</si>
  <si>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</si>
  <si>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</si>
  <si>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</si>
  <si>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</si>
  <si>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</si>
  <si>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</si>
  <si>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</si>
  <si>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</si>
  <si>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</si>
  <si>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</si>
  <si>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</si>
  <si>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</si>
  <si>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(0.75%)</t>
  </si>
  <si>
    <t>Employee Contribution on PF (12%)</t>
  </si>
  <si>
    <t>Employee LWF Contribution</t>
  </si>
  <si>
    <t>Net earning</t>
  </si>
  <si>
    <t>Employer Contribution on ESIC (3.25%)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</si>
  <si>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</si>
  <si>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</si>
  <si>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</si>
  <si>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</si>
  <si>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</si>
  <si>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</si>
  <si>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</si>
  <si>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</si>
  <si>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</si>
  <si>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</si>
  <si>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</si>
  <si>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 NO.</t>
  </si>
  <si>
    <t>PAN NO.</t>
  </si>
  <si>
    <t>ACC. NO.</t>
  </si>
  <si>
    <t>IFSC CODE</t>
  </si>
  <si>
    <t>PF Wages</t>
  </si>
  <si>
    <t>DEO</t>
  </si>
  <si>
    <t>HPEG00</t>
  </si>
  <si>
    <t>Amresh Kumar Yadav</t>
  </si>
  <si>
    <t>RAJ KARAN</t>
  </si>
  <si>
    <t>MHE</t>
  </si>
  <si>
    <t>Lenovo</t>
  </si>
  <si>
    <t>101263655749</t>
  </si>
  <si>
    <t>3562020931</t>
  </si>
  <si>
    <t>Manoj  Kumar</t>
  </si>
  <si>
    <t>Ashok Kumar</t>
  </si>
  <si>
    <t>Konika</t>
  </si>
  <si>
    <t xml:space="preserve">Sandeep  </t>
  </si>
  <si>
    <t>Inder Pal</t>
  </si>
  <si>
    <t>HK</t>
  </si>
  <si>
    <t>100628606431</t>
  </si>
  <si>
    <t>6925525448</t>
  </si>
  <si>
    <t>3562030198</t>
  </si>
  <si>
    <t>Ramesh Kumar SINGH</t>
  </si>
  <si>
    <t>OM PAL</t>
  </si>
  <si>
    <t xml:space="preserve">Total </t>
  </si>
  <si>
    <t>DHL-Okhla-A-185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</si>
  <si>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</si>
  <si>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</si>
  <si>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</si>
  <si>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</si>
  <si>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</si>
  <si>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</si>
  <si>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</si>
  <si>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</si>
  <si>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Employee Contribution on ESIC (1.75%)</t>
  </si>
  <si>
    <t>Employer Contribution on ESIC (4.75%)</t>
  </si>
  <si>
    <t>Arrears</t>
  </si>
  <si>
    <t>New</t>
  </si>
  <si>
    <t>Deepak</t>
  </si>
  <si>
    <t>DOE</t>
  </si>
  <si>
    <t>3562012181</t>
  </si>
  <si>
    <t>Ajit  Singh</t>
  </si>
  <si>
    <t>Amar Singh</t>
  </si>
  <si>
    <t xml:space="preserve">F&amp;F </t>
  </si>
  <si>
    <t>Status</t>
  </si>
  <si>
    <t>DM</t>
  </si>
  <si>
    <t>Insurance</t>
  </si>
  <si>
    <t>GAUTAM JHA</t>
  </si>
  <si>
    <t>PAWAN JHA</t>
  </si>
  <si>
    <t>RAKESH YADAV</t>
  </si>
  <si>
    <t>OSHIYAR YADAV</t>
  </si>
  <si>
    <r>
      <t>Associates</t>
    </r>
    <r>
      <rPr>
        <sz val="12"/>
        <color theme="1"/>
        <rFont val="Times New Roman"/>
        <family val="1"/>
      </rPr>
      <t xml:space="preserve"> </t>
    </r>
  </si>
  <si>
    <t xml:space="preserve">101497731005 </t>
  </si>
  <si>
    <t xml:space="preserve"> 6930264290</t>
  </si>
  <si>
    <t xml:space="preserve">100974185193 </t>
  </si>
  <si>
    <t xml:space="preserve"> 6930330765</t>
  </si>
  <si>
    <t>DM001</t>
  </si>
  <si>
    <t>DM002</t>
  </si>
  <si>
    <t>Soniya Bhandari</t>
  </si>
  <si>
    <t>19/10/2020</t>
  </si>
  <si>
    <t>BIMLESH PATWAL</t>
  </si>
  <si>
    <t xml:space="preserve"> 6930547607</t>
  </si>
  <si>
    <t>101624909538</t>
  </si>
  <si>
    <t>SHASHIKANT GIRI</t>
  </si>
  <si>
    <t>GANESH GIRI</t>
  </si>
  <si>
    <t>21/12/2020</t>
  </si>
  <si>
    <t>Picker</t>
  </si>
  <si>
    <t>Mr Dinesh Kumar</t>
  </si>
  <si>
    <t>Raju</t>
  </si>
  <si>
    <t>supervisor</t>
  </si>
  <si>
    <t>Total</t>
  </si>
  <si>
    <t>Chander Pal</t>
  </si>
  <si>
    <t>100298442315</t>
  </si>
  <si>
    <t>100139053002</t>
  </si>
  <si>
    <t>100350120480</t>
  </si>
  <si>
    <t xml:space="preserve">Shree Deshraj </t>
  </si>
  <si>
    <t>Raghubansh Singh</t>
  </si>
  <si>
    <t>Ajay Kumar Yadav</t>
  </si>
  <si>
    <t>PHOOL KUMAR</t>
  </si>
  <si>
    <t xml:space="preserve"> 6930791285</t>
  </si>
  <si>
    <t xml:space="preserve">100097963194 </t>
  </si>
  <si>
    <t>100349286147</t>
  </si>
  <si>
    <t>1113412071</t>
  </si>
  <si>
    <t>DM003</t>
  </si>
  <si>
    <t>TANUJA BIST</t>
  </si>
  <si>
    <t>SHIB SINGH BIST</t>
  </si>
  <si>
    <t>SHAMSHER  SINGH</t>
  </si>
  <si>
    <t>Mangalam Mani</t>
  </si>
  <si>
    <t>Rudra Mani Dwivedi</t>
  </si>
  <si>
    <t>Vinod Kumar Pandey</t>
  </si>
  <si>
    <t>6931416548</t>
  </si>
  <si>
    <t>100717164145</t>
  </si>
  <si>
    <t>Grifols India Healthcare Pvt. Ltd</t>
  </si>
  <si>
    <t>Lenovo (India) Private Ltd</t>
  </si>
  <si>
    <t>Konica Minolta Business Solutions Pvt Lt</t>
  </si>
  <si>
    <t>IBM India Pvt Ltd</t>
  </si>
  <si>
    <t>AMO INDIA PVT. LTD. (SPL)</t>
  </si>
  <si>
    <t>EQUANT NETWORK SERVICES INDIA PVT. LTD.</t>
  </si>
  <si>
    <t>101499078337</t>
  </si>
  <si>
    <t xml:space="preserve"> Rohit Kumar</t>
  </si>
  <si>
    <t>Satyaveer Singh</t>
  </si>
  <si>
    <t>101736519228</t>
  </si>
  <si>
    <t>6931571603</t>
  </si>
  <si>
    <t>ASHISH KUMAR PANDEY</t>
  </si>
  <si>
    <t xml:space="preserve"> 6929385042</t>
  </si>
  <si>
    <t>101498334849</t>
  </si>
  <si>
    <t>SANTOSH SINGH</t>
  </si>
  <si>
    <t>Amit Kumar</t>
  </si>
  <si>
    <t>Mr Vinod Kumar Yadav</t>
  </si>
  <si>
    <t>CHANDRA BALI YADAV</t>
  </si>
  <si>
    <t>100413106269</t>
  </si>
  <si>
    <t>SANDEEP KUMAR</t>
  </si>
  <si>
    <t>PAPPU GUPTA</t>
  </si>
  <si>
    <t>Un-Skilled</t>
  </si>
  <si>
    <t>101565026724</t>
  </si>
  <si>
    <t>Amar Nath Singh</t>
  </si>
  <si>
    <t>SHAMSHER BAHADUR SINGH</t>
  </si>
  <si>
    <t xml:space="preserve">100549654527 </t>
  </si>
  <si>
    <t>Rupesh</t>
  </si>
  <si>
    <t>Rambabu</t>
  </si>
  <si>
    <t>Skilled</t>
  </si>
  <si>
    <t>101394658472</t>
  </si>
  <si>
    <t>6928426482</t>
  </si>
  <si>
    <t>Jeet Kumar</t>
  </si>
  <si>
    <t>SHANTI  PRAKASH SHARMA</t>
  </si>
  <si>
    <t xml:space="preserve"> 100180159683</t>
  </si>
  <si>
    <t>6928479189</t>
  </si>
  <si>
    <t>Bintu</t>
  </si>
  <si>
    <t>Pooran</t>
  </si>
  <si>
    <t>101446145797</t>
  </si>
  <si>
    <t xml:space="preserve"> 6928993294</t>
  </si>
  <si>
    <t>Yogendra Bhandari</t>
  </si>
  <si>
    <t>Khushal Singh Bhandari</t>
  </si>
  <si>
    <t>101461507685</t>
  </si>
  <si>
    <t xml:space="preserve"> 6929095603</t>
  </si>
  <si>
    <t>Sanjay Kumar</t>
  </si>
  <si>
    <t>Hari Nath</t>
  </si>
  <si>
    <t>101253499713</t>
  </si>
  <si>
    <t xml:space="preserve"> 6928731467</t>
  </si>
  <si>
    <t>MUKESH KUMAR</t>
  </si>
  <si>
    <t>RAMCHARAN THAKUR</t>
  </si>
  <si>
    <t>101477938441</t>
  </si>
  <si>
    <t xml:space="preserve"> 6929248765</t>
  </si>
  <si>
    <t>JITENDER UPPAL</t>
  </si>
  <si>
    <t>SURJIT SINGH</t>
  </si>
  <si>
    <t>101477938456</t>
  </si>
  <si>
    <t xml:space="preserve"> 6929248778</t>
  </si>
  <si>
    <t>AJAY KUMAR</t>
  </si>
  <si>
    <t>PANCHM LAL</t>
  </si>
  <si>
    <t>101477938460</t>
  </si>
  <si>
    <t xml:space="preserve"> 6929248808</t>
  </si>
  <si>
    <t>BALAJI GOND</t>
  </si>
  <si>
    <t>DINESH GOND</t>
  </si>
  <si>
    <t>101477938473</t>
  </si>
  <si>
    <t xml:space="preserve"> 6929248844</t>
  </si>
  <si>
    <t>MD RAFI UDDIN</t>
  </si>
  <si>
    <t>MD SHARIF UDDIN</t>
  </si>
  <si>
    <t>100242079195</t>
  </si>
  <si>
    <t xml:space="preserve"> 6929518129</t>
  </si>
  <si>
    <t>SAIYED ALTMAS</t>
  </si>
  <si>
    <t>SAIYED AHSAN</t>
  </si>
  <si>
    <t>101517213801</t>
  </si>
  <si>
    <t xml:space="preserve"> 6929554190</t>
  </si>
  <si>
    <t>MD ARSHAD</t>
  </si>
  <si>
    <t>MD AINUL</t>
  </si>
  <si>
    <t>07/07/2020</t>
  </si>
  <si>
    <t>101592668617</t>
  </si>
  <si>
    <t xml:space="preserve"> 6930199643</t>
  </si>
  <si>
    <t>Prince Kumar</t>
  </si>
  <si>
    <t>MAHESHWAR NATH UPADHAYAY</t>
  </si>
  <si>
    <t xml:space="preserve">101247009838 </t>
  </si>
  <si>
    <t xml:space="preserve"> 6930560956</t>
  </si>
  <si>
    <t>MAGENDER KUMAR</t>
  </si>
  <si>
    <t>YAS PAL SINGH</t>
  </si>
  <si>
    <t>MH</t>
  </si>
  <si>
    <t>100930558247</t>
  </si>
  <si>
    <t xml:space="preserve"> 6929289346</t>
  </si>
  <si>
    <t>HARDEEP</t>
  </si>
  <si>
    <t>100948837214</t>
  </si>
  <si>
    <t xml:space="preserve"> 6929289358</t>
  </si>
  <si>
    <t xml:space="preserve">Ankit  Singh </t>
  </si>
  <si>
    <t>27/01/2023</t>
  </si>
  <si>
    <t>Deo</t>
  </si>
  <si>
    <t>Ravinder Kaushik</t>
  </si>
  <si>
    <t>23/01/2023</t>
  </si>
  <si>
    <t>Mahesh Kumar</t>
  </si>
  <si>
    <t>101913983771</t>
  </si>
  <si>
    <t xml:space="preserve"> 6933208023</t>
  </si>
  <si>
    <t xml:space="preserve">100862957119 </t>
  </si>
  <si>
    <t xml:space="preserve">Karan Singh Kaushik </t>
  </si>
  <si>
    <t>6929916433</t>
  </si>
  <si>
    <t>E-034</t>
  </si>
  <si>
    <t>Atul Kumar</t>
  </si>
  <si>
    <t>JASWANT SINGH</t>
  </si>
  <si>
    <t>101394006804</t>
  </si>
  <si>
    <t>DHL-Okhla-E-34</t>
  </si>
  <si>
    <t>Chandan Singh Bisht</t>
  </si>
  <si>
    <t>Padam Singh Bisht</t>
  </si>
  <si>
    <t>100122458452</t>
  </si>
  <si>
    <t xml:space="preserve"> 6930677178</t>
  </si>
  <si>
    <t>ESIC Wages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</si>
</sst>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/mmm/yy;@"/>
    <numFmt numFmtId="165" formatCode="mmmm/yyyy"/>
    <numFmt numFmtId="166" formatCode="[$-409]d/mmm/yy;@"/>
  </numFmts>
  <fonts count="13" x14ac:knownFonts="1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8"/>
      <color indexed="8"/>
      <name val="Arial"/>
      <family val="2"/>
    </font>
    <font>
      <sz val="9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sz val="10"/>
      <color theme="1"/>
      <name val="Tahoma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theme="1"/>
      <name val="Verdana"/>
      <family val="2"/>
    </font>
  </fonts>
  <fills count="1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7E8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5" fillId="0" borderId="0"/>
    <xf numFmtId="164" fontId="5" fillId="0" borderId="0" applyFill="0" applyBorder="0" applyAlignment="0" applyProtection="0"/>
    <xf numFmtId="0" fontId="5" fillId="0" borderId="0"/>
    <xf numFmtId="0" fontId="1" fillId="0" borderId="0"/>
    <xf numFmtId="0" fontId="8" fillId="0" borderId="0"/>
    <xf numFmtId="0" fontId="7" fillId="0" borderId="0"/>
  </cellStyleXfs>
  <cellXfs count="90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 readingOrder="1"/>
      <protection locked="0"/>
    </xf>
    <xf numFmtId="0" fontId="0" fillId="0" borderId="1" xfId="0" applyBorder="1"/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49" fontId="0" fillId="0" borderId="1" xfId="0" applyNumberFormat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4" fillId="0" borderId="1" xfId="0" applyFont="1" applyBorder="1" applyAlignment="1">
      <alignment horizontal="left" vertical="top"/>
    </xf>
    <xf numFmtId="1" fontId="0" fillId="0" borderId="1" xfId="0" applyNumberFormat="1" applyBorder="1"/>
    <xf numFmtId="14" fontId="0" fillId="0" borderId="1" xfId="0" applyNumberFormat="1" applyBorder="1"/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0" fillId="0" borderId="0" xfId="0" applyAlignment="1">
      <alignment horizontal="center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left"/>
      <protection locked="0"/>
    </xf>
    <xf numFmtId="165" fontId="0" fillId="0" borderId="0" xfId="0" applyNumberFormat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14" fontId="0" fillId="0" borderId="0" xfId="0" applyNumberFormat="1" applyProtection="1">
      <protection locked="0"/>
    </xf>
    <xf numFmtId="1" fontId="0" fillId="0" borderId="1" xfId="0" applyNumberFormat="1" applyBorder="1" applyProtection="1">
      <protection locked="0"/>
    </xf>
    <xf numFmtId="1" fontId="2" fillId="0" borderId="1" xfId="0" applyNumberFormat="1" applyFont="1" applyBorder="1" applyProtection="1">
      <protection locked="0"/>
    </xf>
    <xf numFmtId="0" fontId="2" fillId="0" borderId="0" xfId="0" applyFont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2" fillId="0" borderId="1" xfId="0" applyNumberFormat="1" applyFont="1" applyBorder="1"/>
    <xf numFmtId="0" fontId="2" fillId="2" borderId="0" xfId="0" applyFont="1" applyFill="1" applyAlignment="1" applyProtection="1">
      <alignment horizontal="center" vertical="center" wrapText="1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applyNumberFormat="1" applyBorder="1" applyAlignment="1">
      <alignment horizontal="center" vertical="center"/>
    </xf>
    <xf numFmtId="15" fontId="0" fillId="0" borderId="1" xfId="0" applyNumberForma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" fontId="0" fillId="0" borderId="0" xfId="0" applyNumberFormat="1" applyProtection="1">
      <protection locked="0"/>
    </xf>
    <xf numFmtId="49" fontId="0" fillId="0" borderId="0" xfId="0" applyNumberForma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0" fontId="0" fillId="12" borderId="0" xfId="0" quotePrefix="1" applyFill="1" applyAlignment="1">
      <alignment horizontal="center"/>
    </xf>
    <xf numFmtId="0" fontId="0" fillId="0" borderId="0" xfId="0" quotePrefix="1" applyAlignment="1">
      <alignment horizontal="center"/>
    </xf>
    <xf numFmtId="1" fontId="2" fillId="0" borderId="0" xfId="0" applyNumberFormat="1" applyFont="1" applyProtection="1">
      <protection locked="0"/>
    </xf>
    <xf numFmtId="0" fontId="0" fillId="0" borderId="1" xfId="0" applyBorder="1" applyAlignment="1" applyProtection="1">
      <alignment horizontal="left"/>
      <protection locked="0"/>
    </xf>
    <xf numFmtId="14" fontId="10" fillId="0" borderId="1" xfId="0" applyNumberFormat="1" applyFont="1" applyBorder="1" applyAlignment="1">
      <alignment horizontal="right"/>
    </xf>
    <xf numFmtId="0" fontId="0" fillId="0" borderId="1" xfId="0" applyNumberFormat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0" xfId="0" applyFill="1" applyBorder="1" applyProtection="1">
      <protection locked="0"/>
    </xf>
    <xf numFmtId="0" fontId="0" fillId="12" borderId="1" xfId="0" applyNumberFormat="1" applyFill="1" applyBorder="1" applyAlignment="1" applyProtection="1">
      <alignment horizontal="center"/>
      <protection locked="0"/>
    </xf>
    <xf numFmtId="0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Fill="1" applyBorder="1"/>
    <xf numFmtId="0" fontId="11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center"/>
      <protection locked="0"/>
    </xf>
    <xf numFmtId="0" fontId="10" fillId="0" borderId="1" xfId="0" applyFont="1" applyBorder="1"/>
    <xf numFmtId="0" fontId="0" fillId="0" borderId="1" xfId="0" quotePrefix="1" applyBorder="1"/>
    <xf numFmtId="0" fontId="9" fillId="0" borderId="1" xfId="0" quotePrefix="1" applyFont="1" applyFill="1" applyBorder="1" applyAlignment="1">
      <alignment horizontal="left"/>
    </xf>
    <xf numFmtId="0" fontId="7" fillId="0" borderId="1" xfId="0" applyFont="1" applyBorder="1" applyProtection="1">
      <protection locked="0"/>
    </xf>
    <xf numFmtId="14" fontId="7" fillId="0" borderId="1" xfId="0" applyNumberFormat="1" applyFont="1" applyBorder="1" applyProtection="1">
      <protection locked="0"/>
    </xf>
    <xf numFmtId="0" fontId="0" fillId="0" borderId="1" xfId="0" applyFill="1" applyBorder="1" applyAlignment="1">
      <alignment horizontal="left"/>
    </xf>
    <xf numFmtId="0" fontId="0" fillId="0" borderId="1" xfId="0" quotePrefix="1" applyFill="1" applyBorder="1" applyAlignment="1">
      <alignment horizontal="left"/>
    </xf>
    <xf numFmtId="0" fontId="7" fillId="0" borderId="1" xfId="0" applyFont="1" applyBorder="1"/>
    <xf numFmtId="0" fontId="2" fillId="0" borderId="0" xfId="0" applyFont="1"/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horizontal="left"/>
      <protection locked="0"/>
    </xf>
    <xf numFmtId="165" fontId="0" fillId="0" borderId="1" xfId="0" applyNumberFormat="1" applyBorder="1" applyAlignment="1" applyProtection="1">
      <alignment horizontal="center"/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14" fontId="0" fillId="0" borderId="1" xfId="0" applyNumberFormat="1" applyBorder="1" applyAlignment="1" applyProtection="1">
      <alignment horizontal="center"/>
      <protection locked="0"/>
    </xf>
    <xf numFmtId="0" fontId="7" fillId="0" borderId="0" xfId="0" applyFont="1" applyProtection="1">
      <protection locked="0"/>
    </xf>
    <xf numFmtId="1" fontId="2" fillId="0" borderId="0" xfId="0" applyNumberFormat="1" applyFont="1"/>
    <xf numFmtId="0" fontId="2" fillId="5" borderId="1" xfId="0" applyFont="1" applyFill="1" applyBorder="1" applyAlignment="1" applyProtection="1">
      <alignment horizontal="center"/>
      <protection locked="0"/>
    </xf>
    <xf numFmtId="0" fontId="12" fillId="13" borderId="1" xfId="0" applyFont="1" applyFill="1" applyBorder="1" applyAlignment="1">
      <alignment horizontal="right" wrapText="1"/>
    </xf>
    <xf numFmtId="2" fontId="2" fillId="0" borderId="0" xfId="0" applyNumberFormat="1" applyFont="1"/>
    <xf numFmtId="1" fontId="0" fillId="0" borderId="0" xfId="0" applyNumberFormat="1"/>
    <xf numFmtId="2" fontId="0" fillId="0" borderId="0" xfId="0" applyNumberFormat="1"/>
    <xf numFmtId="0" fontId="2" fillId="10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 applyProtection="1">
      <alignment horizontal="center"/>
      <protection locked="0"/>
    </xf>
    <xf numFmtId="0" fontId="2" fillId="7" borderId="1" xfId="0" applyFont="1" applyFill="1" applyBorder="1" applyAlignment="1" applyProtection="1">
      <alignment horizontal="center"/>
      <protection locked="0"/>
    </xf>
    <xf numFmtId="0" fontId="2" fillId="8" borderId="1" xfId="0" applyFont="1" applyFill="1" applyBorder="1" applyAlignment="1" applyProtection="1">
      <alignment horizontal="center"/>
      <protection locked="0"/>
    </xf>
    <xf numFmtId="0" fontId="2" fillId="9" borderId="1" xfId="0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</cellXfs>
  <cellStyles count="7">
    <cellStyle name="Comma 2" xfId="2"/>
    <cellStyle name="Normal" xfId="0" builtinId="0"/>
    <cellStyle name="Normal 2" xfId="1"/>
    <cellStyle name="Normal 2 2" xfId="3"/>
    <cellStyle name="Normal 3" xfId="5"/>
    <cellStyle name="Normal 31" xfId="4"/>
    <cellStyle name="Normal 7" xfId="6"/>
  </cellStyles>
  <dxfs count="5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40</xdr:col>
      <xdr:colOff>152400</xdr:colOff>
      <xdr:row>42</xdr:row>
      <xdr:rowOff>123825</xdr:rowOff>
    </xdr:from>
    <xdr:to>
      <xdr:col>41</xdr:col>
      <xdr:colOff>571500</xdr:colOff>
      <xdr:row>48</xdr:row>
      <xdr:rowOff>19050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841700" y="7924800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247650</xdr:colOff>
      <xdr:row>39</xdr:row>
      <xdr:rowOff>114300</xdr:rowOff>
    </xdr:from>
    <xdr:to>
      <xdr:col>20</xdr:col>
      <xdr:colOff>114300</xdr:colOff>
      <xdr:row>45</xdr:row>
      <xdr:rowOff>9525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2049125" y="7400925"/>
          <a:ext cx="981075" cy="8667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42"/>
  <sheetViews>
    <sheetView workbookViewId="0">
      <pane xSplit="7" ySplit="5" topLeftCell="AA6" activePane="bottomRight" state="frozen"/>
      <selection pane="topRight"/>
      <selection pane="bottomLeft"/>
      <selection pane="bottomRight" activeCell="AN41" sqref="AN41"/>
    </sheetView>
  </sheetViews>
  <sheetFormatPr defaultColWidth="9.140625" defaultRowHeight="12.75" x14ac:dyDescent="0.2"/>
  <cols>
    <col min="1" max="1" width="9.42578125" style="14" customWidth="1"/>
    <col min="2" max="2" width="14.85546875" style="14" bestFit="1" customWidth="1"/>
    <col min="3" max="3" width="7.7109375" style="15" hidden="1" customWidth="1"/>
    <col min="4" max="4" width="24.8554687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customWidth="1"/>
    <col min="19" max="20" width="10.85546875" style="15" customWidth="1"/>
    <col min="21" max="21" width="12" style="15" customWidth="1"/>
    <col min="22" max="22" width="10.85546875" style="15" customWidth="1"/>
    <col min="23" max="23" width="12" style="15" customWidth="1"/>
    <col min="24" max="24" width="10.85546875" style="15" customWidth="1"/>
    <col min="25" max="25" width="9.28515625" style="15" customWidth="1"/>
    <col min="26" max="26" width="10.85546875" style="15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2.85546875" style="15" bestFit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16384" width="9.140625" style="15"/>
  </cols>
  <sheetData>
    <row r="1" spans="1:49" x14ac:dyDescent="0.2">
      <c r="A1" s="13" t="s">
        <v>0</v>
      </c>
      <c r="B1" s="13" t="s">
        <v>252</v>
      </c>
      <c r="F1" s="17" t="s">
        <v>2</v>
      </c>
      <c r="G1" s="14"/>
      <c r="O1" s="14"/>
    </row>
    <row r="2" spans="1:49" x14ac:dyDescent="0.2">
      <c r="A2" s="18" t="s">
        <v>3</v>
      </c>
      <c r="B2" s="19">
        <v>45200</v>
      </c>
      <c r="F2" s="17" t="s">
        <v>4</v>
      </c>
      <c r="G2" s="14">
        <v>33</v>
      </c>
      <c r="O2" s="14"/>
    </row>
    <row r="3" spans="1:49" x14ac:dyDescent="0.2">
      <c r="A3" s="18" t="s">
        <v>5</v>
      </c>
      <c r="B3" s="14" t="s">
        <v>6</v>
      </c>
      <c r="F3" s="17" t="s">
        <v>7</v>
      </c>
      <c r="G3" s="71" t="s">
        <v>256</v>
      </c>
      <c r="O3" s="14"/>
    </row>
    <row r="4" spans="1:49" x14ac:dyDescent="0.2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73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84"/>
      <c r="AP4" s="78" t="s">
        <v>16</v>
      </c>
      <c r="AQ4" s="78"/>
      <c r="AR4" s="78"/>
    </row>
    <row r="5" spans="1:49" s="12" customFormat="1" ht="89.25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  <c r="AS5" s="1" t="s">
        <v>65</v>
      </c>
      <c r="AT5" s="1" t="s">
        <v>261</v>
      </c>
    </row>
    <row r="6" spans="1:49" x14ac:dyDescent="0.2">
      <c r="A6" s="6">
        <f>ROW()-5</f>
        <v>1</v>
      </c>
      <c r="B6" s="7">
        <v>3562017972</v>
      </c>
      <c r="C6" s="4">
        <v>5018</v>
      </c>
      <c r="D6" s="4" t="s">
        <v>68</v>
      </c>
      <c r="E6" s="4" t="s">
        <v>69</v>
      </c>
      <c r="F6" s="5">
        <v>43431</v>
      </c>
      <c r="G6" s="5" t="s">
        <v>70</v>
      </c>
      <c r="H6" s="5" t="s">
        <v>153</v>
      </c>
      <c r="I6" s="34" t="s">
        <v>72</v>
      </c>
      <c r="J6" s="34">
        <v>6928679453</v>
      </c>
      <c r="K6" s="6">
        <v>26</v>
      </c>
      <c r="L6" s="6">
        <v>23</v>
      </c>
      <c r="M6" s="6">
        <v>0</v>
      </c>
      <c r="N6" s="6">
        <v>0</v>
      </c>
      <c r="O6" s="6">
        <f>+L6+M6+N6</f>
        <v>23</v>
      </c>
      <c r="P6" s="21">
        <v>17494</v>
      </c>
      <c r="Q6" s="21">
        <v>0</v>
      </c>
      <c r="R6" s="21">
        <v>0</v>
      </c>
      <c r="S6" s="6">
        <v>0</v>
      </c>
      <c r="T6" s="6">
        <f t="shared" ref="T6:T17" si="0">ROUND(SUM(P6:S6),0)</f>
        <v>17494</v>
      </c>
      <c r="U6" s="6">
        <f t="shared" ref="U6:U17" si="1">ROUND(P6/$K6*$O6,0)</f>
        <v>15475</v>
      </c>
      <c r="V6" s="6">
        <f t="shared" ref="V6:V17" si="2">ROUND(Q6/$K6*$O6,0)</f>
        <v>0</v>
      </c>
      <c r="W6" s="6">
        <f t="shared" ref="W6:W17" si="3">ROUND(R6/$K6*$O6,0)</f>
        <v>0</v>
      </c>
      <c r="X6" s="6">
        <f t="shared" ref="X6:X17" si="4">ROUND(S6/$K6*$O6,0)</f>
        <v>0</v>
      </c>
      <c r="Y6" s="6">
        <f t="shared" ref="Y6:Y37" si="5">ROUND(SUM(U6:X6),0)</f>
        <v>15475</v>
      </c>
      <c r="Z6" s="6">
        <f t="shared" ref="Z6:Z37" si="6">ROUND(U6*8.33/100,0)</f>
        <v>1289</v>
      </c>
      <c r="AA6" s="6">
        <f t="shared" ref="AA6:AA38" si="7">ROUND(Y6*5.76%,0)</f>
        <v>891</v>
      </c>
      <c r="AB6" s="4">
        <f t="shared" ref="AB6:AB37" si="8">Y6+AA6+Z6</f>
        <v>17655</v>
      </c>
      <c r="AC6" s="4">
        <f>ROUNDUP(IF(T6&gt;21000,0,AB6*0.75%),0)</f>
        <v>133</v>
      </c>
      <c r="AD6" s="24">
        <f>ROUND(AB6-V6-Z6,)*12%</f>
        <v>1963.9199999999998</v>
      </c>
      <c r="AE6" s="4">
        <v>0</v>
      </c>
      <c r="AF6" s="4">
        <f t="shared" ref="AF6:AF38" si="9">ROUND((AB6+AK6)-(AC6+AD6+AE6),0)</f>
        <v>15558</v>
      </c>
      <c r="AG6" s="48">
        <f t="shared" ref="AG6:AG37" si="10">ROUNDUP(IF((T6)&gt;21000,0,AB6*3.25%),0)</f>
        <v>574</v>
      </c>
      <c r="AH6" s="24">
        <f>ROUND((AB6-V6-Z6)*13%,0)</f>
        <v>2128</v>
      </c>
      <c r="AI6" s="6">
        <v>0</v>
      </c>
      <c r="AJ6" s="4">
        <f t="shared" ref="AJ6:AJ37" si="11">ROUND(175/K6*O6,0)</f>
        <v>155</v>
      </c>
      <c r="AK6" s="6">
        <v>0</v>
      </c>
      <c r="AL6" s="6">
        <v>0</v>
      </c>
      <c r="AM6" s="24">
        <f t="shared" ref="AM6:AM37" si="12">SUM(AG6:AL6)</f>
        <v>2857</v>
      </c>
      <c r="AN6" s="24">
        <f t="shared" ref="AN6:AN38" si="13">AB6+AM6</f>
        <v>20512</v>
      </c>
      <c r="AO6" s="24">
        <f t="shared" ref="AO6:AO37" si="14">ROUND(675/K6*O6,0)</f>
        <v>597</v>
      </c>
      <c r="AP6" s="24">
        <f t="shared" ref="AP6:AP38" si="15">AN6+AO6</f>
        <v>21109</v>
      </c>
      <c r="AQ6" s="24">
        <f t="shared" ref="AQ6:AQ38" si="16">ROUND(AP6*18%,0)</f>
        <v>3800</v>
      </c>
      <c r="AR6" s="25">
        <f t="shared" ref="AR6:AR38" si="17">AP6+AQ6</f>
        <v>24909</v>
      </c>
      <c r="AS6" s="25">
        <f>ROUND(AB6-V6-Z6,)</f>
        <v>16366</v>
      </c>
      <c r="AT6" s="25">
        <f>ROUNDUP(IF(T6&gt;21000,0,AB6),0)</f>
        <v>17655</v>
      </c>
      <c r="AW6" s="39"/>
    </row>
    <row r="7" spans="1:49" x14ac:dyDescent="0.2">
      <c r="A7" s="6">
        <f t="shared" ref="A7:A38" si="18">ROW()-5</f>
        <v>2</v>
      </c>
      <c r="B7" s="7">
        <v>3562041683</v>
      </c>
      <c r="C7" s="6"/>
      <c r="D7" s="4" t="s">
        <v>119</v>
      </c>
      <c r="E7" s="4" t="s">
        <v>121</v>
      </c>
      <c r="F7" s="5" t="s">
        <v>120</v>
      </c>
      <c r="G7" s="5" t="s">
        <v>66</v>
      </c>
      <c r="H7" s="5" t="s">
        <v>67</v>
      </c>
      <c r="I7" s="34" t="s">
        <v>123</v>
      </c>
      <c r="J7" s="34" t="s">
        <v>122</v>
      </c>
      <c r="K7" s="6">
        <v>26</v>
      </c>
      <c r="L7" s="6">
        <v>2</v>
      </c>
      <c r="M7" s="6">
        <v>0</v>
      </c>
      <c r="N7" s="6">
        <v>0</v>
      </c>
      <c r="O7" s="6">
        <f t="shared" ref="O7:O38" si="19">+L7+M7+N7</f>
        <v>2</v>
      </c>
      <c r="P7" s="21">
        <v>19279</v>
      </c>
      <c r="Q7" s="21">
        <v>1019</v>
      </c>
      <c r="R7" s="21">
        <v>0</v>
      </c>
      <c r="S7" s="6">
        <v>0</v>
      </c>
      <c r="T7" s="6">
        <f t="shared" si="0"/>
        <v>20298</v>
      </c>
      <c r="U7" s="6">
        <f t="shared" si="1"/>
        <v>1483</v>
      </c>
      <c r="V7" s="6">
        <f t="shared" si="2"/>
        <v>78</v>
      </c>
      <c r="W7" s="6">
        <f t="shared" si="3"/>
        <v>0</v>
      </c>
      <c r="X7" s="6">
        <f t="shared" si="4"/>
        <v>0</v>
      </c>
      <c r="Y7" s="6">
        <f t="shared" si="5"/>
        <v>1561</v>
      </c>
      <c r="Z7" s="6">
        <f t="shared" si="6"/>
        <v>124</v>
      </c>
      <c r="AA7" s="6">
        <f t="shared" si="7"/>
        <v>90</v>
      </c>
      <c r="AB7" s="4">
        <f t="shared" si="8"/>
        <v>1775</v>
      </c>
      <c r="AC7" s="4">
        <f t="shared" ref="AC7:AC37" si="20">ROUNDUP(IF(T7&gt;21000,0,AB7*0.75%),0)</f>
        <v>14</v>
      </c>
      <c r="AD7" s="24">
        <f t="shared" ref="AD7:AD12" si="21">ROUND(AB7-V7-Z7,)*12%</f>
        <v>188.76</v>
      </c>
      <c r="AE7" s="4">
        <v>0</v>
      </c>
      <c r="AF7" s="4">
        <f t="shared" si="9"/>
        <v>1572</v>
      </c>
      <c r="AG7" s="48">
        <f t="shared" si="10"/>
        <v>58</v>
      </c>
      <c r="AH7" s="24">
        <f t="shared" ref="AH7:AH12" si="22">ROUND((AB7-V7-Z7)*13%,0)</f>
        <v>204</v>
      </c>
      <c r="AI7" s="6">
        <v>0</v>
      </c>
      <c r="AJ7" s="4">
        <f t="shared" si="11"/>
        <v>13</v>
      </c>
      <c r="AK7" s="6">
        <v>0</v>
      </c>
      <c r="AL7" s="6">
        <v>0</v>
      </c>
      <c r="AM7" s="24">
        <f t="shared" si="12"/>
        <v>275</v>
      </c>
      <c r="AN7" s="24">
        <f t="shared" si="13"/>
        <v>2050</v>
      </c>
      <c r="AO7" s="24">
        <f t="shared" si="14"/>
        <v>52</v>
      </c>
      <c r="AP7" s="24">
        <f t="shared" si="15"/>
        <v>2102</v>
      </c>
      <c r="AQ7" s="24">
        <f t="shared" si="16"/>
        <v>378</v>
      </c>
      <c r="AR7" s="25">
        <f t="shared" si="17"/>
        <v>2480</v>
      </c>
      <c r="AS7" s="25">
        <f t="shared" ref="AS7:AS38" si="23">ROUND(AB7-V7-Z7,)</f>
        <v>1573</v>
      </c>
      <c r="AT7" s="25">
        <f t="shared" ref="AT7:AT38" si="24">ROUNDUP(IF(T7&gt;21000,0,AB7),0)</f>
        <v>1775</v>
      </c>
      <c r="AW7" s="39"/>
    </row>
    <row r="8" spans="1:49" x14ac:dyDescent="0.2">
      <c r="A8" s="6">
        <f t="shared" si="18"/>
        <v>3</v>
      </c>
      <c r="B8" s="36">
        <v>3562043320</v>
      </c>
      <c r="C8" s="6"/>
      <c r="D8" s="4" t="s">
        <v>124</v>
      </c>
      <c r="E8" s="4" t="s">
        <v>125</v>
      </c>
      <c r="F8" s="5" t="s">
        <v>126</v>
      </c>
      <c r="G8" s="5" t="s">
        <v>66</v>
      </c>
      <c r="H8" s="5" t="s">
        <v>156</v>
      </c>
      <c r="I8" s="34" t="s">
        <v>142</v>
      </c>
      <c r="J8" s="34" t="s">
        <v>143</v>
      </c>
      <c r="K8" s="6">
        <v>26</v>
      </c>
      <c r="L8" s="6">
        <v>26</v>
      </c>
      <c r="M8" s="6">
        <v>0</v>
      </c>
      <c r="N8" s="6">
        <v>0</v>
      </c>
      <c r="O8" s="6">
        <f t="shared" si="19"/>
        <v>26</v>
      </c>
      <c r="P8" s="21">
        <v>19279</v>
      </c>
      <c r="Q8" s="21">
        <v>0</v>
      </c>
      <c r="R8" s="21">
        <v>0</v>
      </c>
      <c r="S8" s="6">
        <v>0</v>
      </c>
      <c r="T8" s="6">
        <f t="shared" si="0"/>
        <v>19279</v>
      </c>
      <c r="U8" s="6">
        <f t="shared" si="1"/>
        <v>19279</v>
      </c>
      <c r="V8" s="6">
        <f t="shared" si="2"/>
        <v>0</v>
      </c>
      <c r="W8" s="6">
        <f t="shared" si="3"/>
        <v>0</v>
      </c>
      <c r="X8" s="6">
        <f t="shared" si="4"/>
        <v>0</v>
      </c>
      <c r="Y8" s="6">
        <f t="shared" si="5"/>
        <v>19279</v>
      </c>
      <c r="Z8" s="6">
        <f t="shared" si="6"/>
        <v>1606</v>
      </c>
      <c r="AA8" s="6">
        <f t="shared" si="7"/>
        <v>1110</v>
      </c>
      <c r="AB8" s="4">
        <f t="shared" si="8"/>
        <v>21995</v>
      </c>
      <c r="AC8" s="4">
        <f t="shared" si="20"/>
        <v>165</v>
      </c>
      <c r="AD8" s="24">
        <f t="shared" si="21"/>
        <v>2446.6799999999998</v>
      </c>
      <c r="AE8" s="4">
        <v>0</v>
      </c>
      <c r="AF8" s="4">
        <f t="shared" si="9"/>
        <v>19383</v>
      </c>
      <c r="AG8" s="48">
        <f t="shared" si="10"/>
        <v>715</v>
      </c>
      <c r="AH8" s="24">
        <f t="shared" si="22"/>
        <v>2651</v>
      </c>
      <c r="AI8" s="6">
        <v>0</v>
      </c>
      <c r="AJ8" s="4">
        <f t="shared" si="11"/>
        <v>175</v>
      </c>
      <c r="AK8" s="6">
        <v>0</v>
      </c>
      <c r="AL8" s="6">
        <v>0</v>
      </c>
      <c r="AM8" s="24">
        <f t="shared" si="12"/>
        <v>3541</v>
      </c>
      <c r="AN8" s="24">
        <f t="shared" si="13"/>
        <v>25536</v>
      </c>
      <c r="AO8" s="24">
        <f t="shared" si="14"/>
        <v>675</v>
      </c>
      <c r="AP8" s="24">
        <f t="shared" si="15"/>
        <v>26211</v>
      </c>
      <c r="AQ8" s="24">
        <f t="shared" si="16"/>
        <v>4718</v>
      </c>
      <c r="AR8" s="25">
        <f t="shared" si="17"/>
        <v>30929</v>
      </c>
      <c r="AS8" s="25">
        <f t="shared" si="23"/>
        <v>20389</v>
      </c>
      <c r="AT8" s="25">
        <f t="shared" si="24"/>
        <v>21995</v>
      </c>
      <c r="AW8" s="39"/>
    </row>
    <row r="9" spans="1:49" x14ac:dyDescent="0.2">
      <c r="A9" s="6">
        <f t="shared" si="18"/>
        <v>4</v>
      </c>
      <c r="B9" s="36">
        <v>3562043515</v>
      </c>
      <c r="C9" s="6"/>
      <c r="D9" s="4" t="s">
        <v>129</v>
      </c>
      <c r="E9" s="4" t="s">
        <v>132</v>
      </c>
      <c r="F9" s="5">
        <v>44188</v>
      </c>
      <c r="G9" s="5" t="s">
        <v>127</v>
      </c>
      <c r="H9" s="5" t="s">
        <v>155</v>
      </c>
      <c r="I9" s="34" t="s">
        <v>133</v>
      </c>
      <c r="J9" s="34">
        <v>1320146035</v>
      </c>
      <c r="K9" s="6">
        <v>26</v>
      </c>
      <c r="L9" s="6">
        <v>25</v>
      </c>
      <c r="M9" s="6">
        <v>0</v>
      </c>
      <c r="N9" s="6">
        <v>0</v>
      </c>
      <c r="O9" s="6">
        <f t="shared" si="19"/>
        <v>25</v>
      </c>
      <c r="P9" s="21">
        <v>17494</v>
      </c>
      <c r="Q9" s="21">
        <v>0</v>
      </c>
      <c r="R9" s="21">
        <v>0</v>
      </c>
      <c r="S9" s="6">
        <v>0</v>
      </c>
      <c r="T9" s="6">
        <f t="shared" si="0"/>
        <v>17494</v>
      </c>
      <c r="U9" s="6">
        <f t="shared" si="1"/>
        <v>16821</v>
      </c>
      <c r="V9" s="6">
        <f t="shared" si="2"/>
        <v>0</v>
      </c>
      <c r="W9" s="6">
        <f t="shared" si="3"/>
        <v>0</v>
      </c>
      <c r="X9" s="6">
        <f t="shared" si="4"/>
        <v>0</v>
      </c>
      <c r="Y9" s="6">
        <f t="shared" si="5"/>
        <v>16821</v>
      </c>
      <c r="Z9" s="6">
        <f t="shared" si="6"/>
        <v>1401</v>
      </c>
      <c r="AA9" s="6">
        <f t="shared" si="7"/>
        <v>969</v>
      </c>
      <c r="AB9" s="4">
        <f t="shared" si="8"/>
        <v>19191</v>
      </c>
      <c r="AC9" s="4">
        <f t="shared" si="20"/>
        <v>144</v>
      </c>
      <c r="AD9" s="24">
        <f t="shared" si="21"/>
        <v>2134.7999999999997</v>
      </c>
      <c r="AE9" s="4">
        <v>0</v>
      </c>
      <c r="AF9" s="4">
        <f t="shared" si="9"/>
        <v>16912</v>
      </c>
      <c r="AG9" s="48">
        <f t="shared" si="10"/>
        <v>624</v>
      </c>
      <c r="AH9" s="24">
        <f t="shared" si="22"/>
        <v>2313</v>
      </c>
      <c r="AI9" s="6">
        <v>0</v>
      </c>
      <c r="AJ9" s="4">
        <f t="shared" si="11"/>
        <v>168</v>
      </c>
      <c r="AK9" s="6">
        <v>0</v>
      </c>
      <c r="AL9" s="6">
        <v>0</v>
      </c>
      <c r="AM9" s="24">
        <f t="shared" si="12"/>
        <v>3105</v>
      </c>
      <c r="AN9" s="24">
        <f t="shared" si="13"/>
        <v>22296</v>
      </c>
      <c r="AO9" s="24">
        <f t="shared" si="14"/>
        <v>649</v>
      </c>
      <c r="AP9" s="24">
        <f t="shared" si="15"/>
        <v>22945</v>
      </c>
      <c r="AQ9" s="24">
        <f t="shared" si="16"/>
        <v>4130</v>
      </c>
      <c r="AR9" s="25">
        <f t="shared" si="17"/>
        <v>27075</v>
      </c>
      <c r="AS9" s="25">
        <f t="shared" si="23"/>
        <v>17790</v>
      </c>
      <c r="AT9" s="25">
        <f t="shared" si="24"/>
        <v>19191</v>
      </c>
      <c r="AW9" s="39"/>
    </row>
    <row r="10" spans="1:49" x14ac:dyDescent="0.2">
      <c r="A10" s="6">
        <f t="shared" si="18"/>
        <v>5</v>
      </c>
      <c r="B10" s="36">
        <v>3562044036</v>
      </c>
      <c r="C10" s="6"/>
      <c r="D10" s="4" t="s">
        <v>128</v>
      </c>
      <c r="E10" s="4" t="s">
        <v>136</v>
      </c>
      <c r="F10" s="37">
        <v>44193</v>
      </c>
      <c r="G10" s="5" t="s">
        <v>66</v>
      </c>
      <c r="H10" s="5" t="s">
        <v>156</v>
      </c>
      <c r="I10" s="34" t="s">
        <v>134</v>
      </c>
      <c r="J10" s="34">
        <v>1113547728</v>
      </c>
      <c r="K10" s="6">
        <v>26</v>
      </c>
      <c r="L10" s="6">
        <v>26</v>
      </c>
      <c r="M10" s="6">
        <v>0</v>
      </c>
      <c r="N10" s="6">
        <v>2</v>
      </c>
      <c r="O10" s="6">
        <f t="shared" si="19"/>
        <v>28</v>
      </c>
      <c r="P10" s="21">
        <v>19279</v>
      </c>
      <c r="Q10" s="21">
        <v>1614</v>
      </c>
      <c r="R10" s="21">
        <v>0</v>
      </c>
      <c r="S10" s="6">
        <v>0</v>
      </c>
      <c r="T10" s="6">
        <f t="shared" si="0"/>
        <v>20893</v>
      </c>
      <c r="U10" s="6">
        <f t="shared" si="1"/>
        <v>20762</v>
      </c>
      <c r="V10" s="6">
        <f t="shared" si="2"/>
        <v>1738</v>
      </c>
      <c r="W10" s="6">
        <f t="shared" si="3"/>
        <v>0</v>
      </c>
      <c r="X10" s="6">
        <f t="shared" si="4"/>
        <v>0</v>
      </c>
      <c r="Y10" s="6">
        <f t="shared" si="5"/>
        <v>22500</v>
      </c>
      <c r="Z10" s="6">
        <f t="shared" si="6"/>
        <v>1729</v>
      </c>
      <c r="AA10" s="6">
        <f t="shared" si="7"/>
        <v>1296</v>
      </c>
      <c r="AB10" s="4">
        <f t="shared" si="8"/>
        <v>25525</v>
      </c>
      <c r="AC10" s="4">
        <f t="shared" si="20"/>
        <v>192</v>
      </c>
      <c r="AD10" s="24">
        <f t="shared" si="21"/>
        <v>2646.96</v>
      </c>
      <c r="AE10" s="4">
        <v>0</v>
      </c>
      <c r="AF10" s="4">
        <f t="shared" si="9"/>
        <v>22686</v>
      </c>
      <c r="AG10" s="48">
        <f t="shared" si="10"/>
        <v>830</v>
      </c>
      <c r="AH10" s="24">
        <f t="shared" si="22"/>
        <v>2868</v>
      </c>
      <c r="AI10" s="6">
        <v>0</v>
      </c>
      <c r="AJ10" s="4">
        <f t="shared" si="11"/>
        <v>188</v>
      </c>
      <c r="AK10" s="6">
        <v>0</v>
      </c>
      <c r="AL10" s="6">
        <v>0</v>
      </c>
      <c r="AM10" s="24">
        <f t="shared" si="12"/>
        <v>3886</v>
      </c>
      <c r="AN10" s="24">
        <f t="shared" si="13"/>
        <v>29411</v>
      </c>
      <c r="AO10" s="24">
        <f t="shared" si="14"/>
        <v>727</v>
      </c>
      <c r="AP10" s="24">
        <f t="shared" si="15"/>
        <v>30138</v>
      </c>
      <c r="AQ10" s="24">
        <f t="shared" si="16"/>
        <v>5425</v>
      </c>
      <c r="AR10" s="25">
        <f t="shared" si="17"/>
        <v>35563</v>
      </c>
      <c r="AS10" s="25">
        <f t="shared" si="23"/>
        <v>22058</v>
      </c>
      <c r="AT10" s="25">
        <f t="shared" si="24"/>
        <v>25525</v>
      </c>
      <c r="AW10" s="39"/>
    </row>
    <row r="11" spans="1:49" x14ac:dyDescent="0.2">
      <c r="A11" s="6">
        <f t="shared" si="18"/>
        <v>6</v>
      </c>
      <c r="B11" s="36">
        <v>3562044037</v>
      </c>
      <c r="C11" s="6"/>
      <c r="D11" s="4" t="s">
        <v>147</v>
      </c>
      <c r="E11" s="4" t="s">
        <v>137</v>
      </c>
      <c r="F11" s="38">
        <v>44188</v>
      </c>
      <c r="G11" s="5" t="s">
        <v>130</v>
      </c>
      <c r="H11" s="5" t="s">
        <v>157</v>
      </c>
      <c r="I11" s="34" t="s">
        <v>135</v>
      </c>
      <c r="J11" s="34">
        <v>1320697173</v>
      </c>
      <c r="K11" s="6">
        <v>26</v>
      </c>
      <c r="L11" s="6">
        <v>23</v>
      </c>
      <c r="M11" s="6">
        <v>0</v>
      </c>
      <c r="N11" s="6">
        <v>0</v>
      </c>
      <c r="O11" s="6">
        <f t="shared" si="19"/>
        <v>23</v>
      </c>
      <c r="P11" s="21">
        <v>19279</v>
      </c>
      <c r="Q11" s="21">
        <v>537</v>
      </c>
      <c r="R11" s="21">
        <v>0</v>
      </c>
      <c r="S11" s="6">
        <v>0</v>
      </c>
      <c r="T11" s="6">
        <f t="shared" si="0"/>
        <v>19816</v>
      </c>
      <c r="U11" s="6">
        <f t="shared" si="1"/>
        <v>17055</v>
      </c>
      <c r="V11" s="6">
        <f t="shared" si="2"/>
        <v>475</v>
      </c>
      <c r="W11" s="6">
        <f t="shared" si="3"/>
        <v>0</v>
      </c>
      <c r="X11" s="6">
        <f t="shared" si="4"/>
        <v>0</v>
      </c>
      <c r="Y11" s="6">
        <f t="shared" si="5"/>
        <v>17530</v>
      </c>
      <c r="Z11" s="6">
        <f t="shared" si="6"/>
        <v>1421</v>
      </c>
      <c r="AA11" s="6">
        <f t="shared" si="7"/>
        <v>1010</v>
      </c>
      <c r="AB11" s="4">
        <f t="shared" si="8"/>
        <v>19961</v>
      </c>
      <c r="AC11" s="4">
        <f t="shared" si="20"/>
        <v>150</v>
      </c>
      <c r="AD11" s="24">
        <f t="shared" si="21"/>
        <v>2167.7999999999997</v>
      </c>
      <c r="AE11" s="4">
        <v>0</v>
      </c>
      <c r="AF11" s="4">
        <f t="shared" si="9"/>
        <v>17643</v>
      </c>
      <c r="AG11" s="48">
        <f t="shared" si="10"/>
        <v>649</v>
      </c>
      <c r="AH11" s="24">
        <f t="shared" si="22"/>
        <v>2348</v>
      </c>
      <c r="AI11" s="6">
        <v>0</v>
      </c>
      <c r="AJ11" s="4">
        <f t="shared" si="11"/>
        <v>155</v>
      </c>
      <c r="AK11" s="6">
        <v>0</v>
      </c>
      <c r="AL11" s="6">
        <v>0</v>
      </c>
      <c r="AM11" s="24">
        <f t="shared" si="12"/>
        <v>3152</v>
      </c>
      <c r="AN11" s="24">
        <f t="shared" si="13"/>
        <v>23113</v>
      </c>
      <c r="AO11" s="24">
        <f t="shared" si="14"/>
        <v>597</v>
      </c>
      <c r="AP11" s="24">
        <f t="shared" si="15"/>
        <v>23710</v>
      </c>
      <c r="AQ11" s="24">
        <f t="shared" si="16"/>
        <v>4268</v>
      </c>
      <c r="AR11" s="25">
        <f t="shared" si="17"/>
        <v>27978</v>
      </c>
      <c r="AS11" s="25">
        <f t="shared" si="23"/>
        <v>18065</v>
      </c>
      <c r="AT11" s="25">
        <f t="shared" si="24"/>
        <v>19961</v>
      </c>
      <c r="AW11" s="39"/>
    </row>
    <row r="12" spans="1:49" x14ac:dyDescent="0.2">
      <c r="A12" s="6">
        <f t="shared" si="18"/>
        <v>7</v>
      </c>
      <c r="B12" s="36">
        <v>3562044119</v>
      </c>
      <c r="C12" s="6"/>
      <c r="D12" s="4" t="s">
        <v>138</v>
      </c>
      <c r="E12" s="4" t="s">
        <v>139</v>
      </c>
      <c r="F12" s="38">
        <v>44207</v>
      </c>
      <c r="G12" s="5" t="s">
        <v>66</v>
      </c>
      <c r="H12" s="5" t="s">
        <v>156</v>
      </c>
      <c r="I12" s="34" t="s">
        <v>141</v>
      </c>
      <c r="J12" s="34" t="s">
        <v>140</v>
      </c>
      <c r="K12" s="6">
        <v>26</v>
      </c>
      <c r="L12" s="6">
        <v>26</v>
      </c>
      <c r="M12" s="6">
        <v>0</v>
      </c>
      <c r="N12" s="6">
        <v>0</v>
      </c>
      <c r="O12" s="6">
        <f t="shared" si="19"/>
        <v>26</v>
      </c>
      <c r="P12" s="21">
        <v>19279</v>
      </c>
      <c r="Q12" s="21">
        <v>3891</v>
      </c>
      <c r="R12" s="21">
        <v>0</v>
      </c>
      <c r="S12" s="6">
        <v>0</v>
      </c>
      <c r="T12" s="6">
        <f t="shared" si="0"/>
        <v>23170</v>
      </c>
      <c r="U12" s="6">
        <f t="shared" si="1"/>
        <v>19279</v>
      </c>
      <c r="V12" s="6">
        <f t="shared" si="2"/>
        <v>3891</v>
      </c>
      <c r="W12" s="6">
        <f t="shared" si="3"/>
        <v>0</v>
      </c>
      <c r="X12" s="6">
        <f t="shared" si="4"/>
        <v>0</v>
      </c>
      <c r="Y12" s="6">
        <f t="shared" si="5"/>
        <v>23170</v>
      </c>
      <c r="Z12" s="6">
        <f t="shared" si="6"/>
        <v>1606</v>
      </c>
      <c r="AA12" s="6">
        <f t="shared" si="7"/>
        <v>1335</v>
      </c>
      <c r="AB12" s="4">
        <f t="shared" si="8"/>
        <v>26111</v>
      </c>
      <c r="AC12" s="4">
        <f t="shared" si="20"/>
        <v>0</v>
      </c>
      <c r="AD12" s="24">
        <f t="shared" si="21"/>
        <v>2473.6799999999998</v>
      </c>
      <c r="AE12" s="4">
        <v>0</v>
      </c>
      <c r="AF12" s="4">
        <f t="shared" si="9"/>
        <v>23637</v>
      </c>
      <c r="AG12" s="48">
        <f t="shared" si="10"/>
        <v>0</v>
      </c>
      <c r="AH12" s="24">
        <f t="shared" si="22"/>
        <v>2680</v>
      </c>
      <c r="AI12" s="6">
        <v>0</v>
      </c>
      <c r="AJ12" s="4">
        <f t="shared" si="11"/>
        <v>175</v>
      </c>
      <c r="AK12" s="6">
        <v>0</v>
      </c>
      <c r="AL12" s="6">
        <v>600</v>
      </c>
      <c r="AM12" s="24">
        <f t="shared" si="12"/>
        <v>3455</v>
      </c>
      <c r="AN12" s="24">
        <f t="shared" si="13"/>
        <v>29566</v>
      </c>
      <c r="AO12" s="24">
        <f t="shared" si="14"/>
        <v>675</v>
      </c>
      <c r="AP12" s="24">
        <f t="shared" si="15"/>
        <v>30241</v>
      </c>
      <c r="AQ12" s="24">
        <f t="shared" si="16"/>
        <v>5443</v>
      </c>
      <c r="AR12" s="25">
        <f t="shared" si="17"/>
        <v>35684</v>
      </c>
      <c r="AS12" s="25">
        <f t="shared" si="23"/>
        <v>20614</v>
      </c>
      <c r="AT12" s="25">
        <f t="shared" si="24"/>
        <v>0</v>
      </c>
      <c r="AW12" s="39"/>
    </row>
    <row r="13" spans="1:49" x14ac:dyDescent="0.2">
      <c r="A13" s="6">
        <f t="shared" si="18"/>
        <v>8</v>
      </c>
      <c r="B13" s="36">
        <v>3562056132</v>
      </c>
      <c r="C13" s="6"/>
      <c r="D13" s="4" t="s">
        <v>164</v>
      </c>
      <c r="E13" s="4" t="s">
        <v>150</v>
      </c>
      <c r="F13" s="38">
        <v>44378</v>
      </c>
      <c r="G13" s="5" t="s">
        <v>66</v>
      </c>
      <c r="H13" s="5" t="s">
        <v>158</v>
      </c>
      <c r="I13" s="34" t="s">
        <v>152</v>
      </c>
      <c r="J13" s="34" t="s">
        <v>151</v>
      </c>
      <c r="K13" s="6">
        <v>26</v>
      </c>
      <c r="L13" s="6">
        <v>26</v>
      </c>
      <c r="M13" s="6">
        <v>0</v>
      </c>
      <c r="N13" s="6">
        <v>0</v>
      </c>
      <c r="O13" s="6">
        <f t="shared" si="19"/>
        <v>26</v>
      </c>
      <c r="P13" s="21">
        <v>19279</v>
      </c>
      <c r="Q13" s="21">
        <v>0</v>
      </c>
      <c r="R13" s="21">
        <v>0</v>
      </c>
      <c r="S13" s="6">
        <v>0</v>
      </c>
      <c r="T13" s="6">
        <f t="shared" si="0"/>
        <v>19279</v>
      </c>
      <c r="U13" s="6">
        <f t="shared" si="1"/>
        <v>19279</v>
      </c>
      <c r="V13" s="6">
        <f t="shared" si="2"/>
        <v>0</v>
      </c>
      <c r="W13" s="6">
        <f t="shared" si="3"/>
        <v>0</v>
      </c>
      <c r="X13" s="6">
        <f t="shared" si="4"/>
        <v>0</v>
      </c>
      <c r="Y13" s="6">
        <f t="shared" si="5"/>
        <v>19279</v>
      </c>
      <c r="Z13" s="6">
        <f t="shared" si="6"/>
        <v>1606</v>
      </c>
      <c r="AA13" s="6">
        <f t="shared" si="7"/>
        <v>1110</v>
      </c>
      <c r="AB13" s="4">
        <f t="shared" si="8"/>
        <v>21995</v>
      </c>
      <c r="AC13" s="4">
        <f t="shared" si="20"/>
        <v>165</v>
      </c>
      <c r="AD13" s="24">
        <f>ROUND(IF(($AB13-V13)*13%&gt;1800,1800,($AB13-V13)*13%),0)</f>
        <v>1800</v>
      </c>
      <c r="AE13" s="4">
        <v>0</v>
      </c>
      <c r="AF13" s="4">
        <f t="shared" si="9"/>
        <v>20030</v>
      </c>
      <c r="AG13" s="48">
        <f t="shared" si="10"/>
        <v>715</v>
      </c>
      <c r="AH13" s="24">
        <f>ROUND(IF(($AB13-Z13)*13%&gt;1950,1950,($AB13-Z13)*13%),0)</f>
        <v>1950</v>
      </c>
      <c r="AI13" s="6">
        <v>0</v>
      </c>
      <c r="AJ13" s="4">
        <f t="shared" si="11"/>
        <v>175</v>
      </c>
      <c r="AK13" s="6">
        <v>0</v>
      </c>
      <c r="AL13" s="6">
        <v>0</v>
      </c>
      <c r="AM13" s="24">
        <f t="shared" si="12"/>
        <v>2840</v>
      </c>
      <c r="AN13" s="24">
        <f t="shared" si="13"/>
        <v>24835</v>
      </c>
      <c r="AO13" s="24">
        <f t="shared" si="14"/>
        <v>675</v>
      </c>
      <c r="AP13" s="24">
        <f t="shared" si="15"/>
        <v>25510</v>
      </c>
      <c r="AQ13" s="24">
        <f t="shared" si="16"/>
        <v>4592</v>
      </c>
      <c r="AR13" s="25">
        <f t="shared" si="17"/>
        <v>30102</v>
      </c>
      <c r="AS13" s="25">
        <v>15000</v>
      </c>
      <c r="AT13" s="25">
        <f t="shared" si="24"/>
        <v>21995</v>
      </c>
      <c r="AW13" s="39"/>
    </row>
    <row r="14" spans="1:49" x14ac:dyDescent="0.2">
      <c r="A14" s="6">
        <f t="shared" si="18"/>
        <v>9</v>
      </c>
      <c r="B14" s="36">
        <v>3562056137</v>
      </c>
      <c r="C14" s="6"/>
      <c r="D14" s="4" t="s">
        <v>148</v>
      </c>
      <c r="E14" s="4" t="s">
        <v>149</v>
      </c>
      <c r="F14" s="38">
        <v>44378</v>
      </c>
      <c r="G14" s="5" t="s">
        <v>127</v>
      </c>
      <c r="H14" s="5" t="s">
        <v>155</v>
      </c>
      <c r="I14" s="34" t="s">
        <v>159</v>
      </c>
      <c r="J14" s="3">
        <v>6931389241</v>
      </c>
      <c r="K14" s="6">
        <v>26</v>
      </c>
      <c r="L14" s="6">
        <v>24</v>
      </c>
      <c r="M14" s="6">
        <v>0</v>
      </c>
      <c r="N14" s="6">
        <v>0</v>
      </c>
      <c r="O14" s="6">
        <f t="shared" si="19"/>
        <v>24</v>
      </c>
      <c r="P14" s="21">
        <v>17494</v>
      </c>
      <c r="Q14" s="21">
        <v>0</v>
      </c>
      <c r="R14" s="21">
        <v>0</v>
      </c>
      <c r="S14" s="6">
        <v>0</v>
      </c>
      <c r="T14" s="6">
        <f t="shared" si="0"/>
        <v>17494</v>
      </c>
      <c r="U14" s="6">
        <f t="shared" si="1"/>
        <v>16148</v>
      </c>
      <c r="V14" s="6">
        <f t="shared" si="2"/>
        <v>0</v>
      </c>
      <c r="W14" s="6">
        <f t="shared" si="3"/>
        <v>0</v>
      </c>
      <c r="X14" s="6">
        <f t="shared" si="4"/>
        <v>0</v>
      </c>
      <c r="Y14" s="6">
        <f t="shared" si="5"/>
        <v>16148</v>
      </c>
      <c r="Z14" s="6">
        <f t="shared" si="6"/>
        <v>1345</v>
      </c>
      <c r="AA14" s="6">
        <f t="shared" si="7"/>
        <v>930</v>
      </c>
      <c r="AB14" s="4">
        <f t="shared" si="8"/>
        <v>18423</v>
      </c>
      <c r="AC14" s="4">
        <f t="shared" si="20"/>
        <v>139</v>
      </c>
      <c r="AD14" s="24">
        <f>ROUND(IF(($AB14-V14)*13%&gt;1800,1800,($AB14-V14)*13%),0)</f>
        <v>1800</v>
      </c>
      <c r="AE14" s="4">
        <v>0</v>
      </c>
      <c r="AF14" s="4">
        <f t="shared" si="9"/>
        <v>16484</v>
      </c>
      <c r="AG14" s="48">
        <f t="shared" si="10"/>
        <v>599</v>
      </c>
      <c r="AH14" s="24">
        <f>ROUND(IF(($AB14-Z14)*13%&gt;1950,1950,($AB14-Z14)*13%),0)</f>
        <v>1950</v>
      </c>
      <c r="AI14" s="6">
        <v>0</v>
      </c>
      <c r="AJ14" s="4">
        <f t="shared" si="11"/>
        <v>162</v>
      </c>
      <c r="AK14" s="6">
        <v>0</v>
      </c>
      <c r="AL14" s="6">
        <v>0</v>
      </c>
      <c r="AM14" s="24">
        <f t="shared" si="12"/>
        <v>2711</v>
      </c>
      <c r="AN14" s="24">
        <f t="shared" si="13"/>
        <v>21134</v>
      </c>
      <c r="AO14" s="24">
        <f t="shared" si="14"/>
        <v>623</v>
      </c>
      <c r="AP14" s="24">
        <f t="shared" si="15"/>
        <v>21757</v>
      </c>
      <c r="AQ14" s="24">
        <f t="shared" si="16"/>
        <v>3916</v>
      </c>
      <c r="AR14" s="25">
        <f t="shared" si="17"/>
        <v>25673</v>
      </c>
      <c r="AS14" s="25">
        <v>15000</v>
      </c>
      <c r="AT14" s="25">
        <f t="shared" si="24"/>
        <v>18423</v>
      </c>
      <c r="AW14" s="39"/>
    </row>
    <row r="15" spans="1:49" x14ac:dyDescent="0.2">
      <c r="A15" s="6">
        <f t="shared" si="18"/>
        <v>10</v>
      </c>
      <c r="B15" s="36">
        <v>3562028794</v>
      </c>
      <c r="C15" s="6"/>
      <c r="D15" s="4" t="s">
        <v>168</v>
      </c>
      <c r="E15" s="4" t="s">
        <v>167</v>
      </c>
      <c r="F15" s="38">
        <v>43693</v>
      </c>
      <c r="G15" s="5" t="s">
        <v>66</v>
      </c>
      <c r="H15" s="5" t="s">
        <v>67</v>
      </c>
      <c r="I15" s="34" t="s">
        <v>166</v>
      </c>
      <c r="J15" s="34" t="s">
        <v>165</v>
      </c>
      <c r="K15" s="6">
        <v>26</v>
      </c>
      <c r="L15" s="6">
        <v>26</v>
      </c>
      <c r="M15" s="6">
        <v>0</v>
      </c>
      <c r="N15" s="6">
        <v>0</v>
      </c>
      <c r="O15" s="6">
        <f t="shared" si="19"/>
        <v>26</v>
      </c>
      <c r="P15" s="21">
        <v>19279</v>
      </c>
      <c r="Q15" s="21">
        <v>0</v>
      </c>
      <c r="R15" s="21">
        <v>0</v>
      </c>
      <c r="S15" s="6">
        <v>0</v>
      </c>
      <c r="T15" s="6">
        <f t="shared" si="0"/>
        <v>19279</v>
      </c>
      <c r="U15" s="6">
        <f t="shared" si="1"/>
        <v>19279</v>
      </c>
      <c r="V15" s="6">
        <f t="shared" si="2"/>
        <v>0</v>
      </c>
      <c r="W15" s="6">
        <f t="shared" si="3"/>
        <v>0</v>
      </c>
      <c r="X15" s="6">
        <f t="shared" si="4"/>
        <v>0</v>
      </c>
      <c r="Y15" s="6">
        <f t="shared" si="5"/>
        <v>19279</v>
      </c>
      <c r="Z15" s="6">
        <f t="shared" si="6"/>
        <v>1606</v>
      </c>
      <c r="AA15" s="6">
        <f t="shared" si="7"/>
        <v>1110</v>
      </c>
      <c r="AB15" s="4">
        <f t="shared" si="8"/>
        <v>21995</v>
      </c>
      <c r="AC15" s="4">
        <f t="shared" si="20"/>
        <v>165</v>
      </c>
      <c r="AD15" s="24">
        <f>ROUND(AB15-V15-Z15,)*12%</f>
        <v>2446.6799999999998</v>
      </c>
      <c r="AE15" s="4">
        <v>0</v>
      </c>
      <c r="AF15" s="4">
        <f t="shared" si="9"/>
        <v>19383</v>
      </c>
      <c r="AG15" s="48">
        <f t="shared" si="10"/>
        <v>715</v>
      </c>
      <c r="AH15" s="24">
        <f t="shared" ref="AH15:AH16" si="25">ROUND((AB15-V15-Z15)*13%,0)</f>
        <v>2651</v>
      </c>
      <c r="AI15" s="6">
        <v>0</v>
      </c>
      <c r="AJ15" s="4">
        <f t="shared" si="11"/>
        <v>175</v>
      </c>
      <c r="AK15" s="6">
        <v>0</v>
      </c>
      <c r="AL15" s="6">
        <v>0</v>
      </c>
      <c r="AM15" s="24">
        <f t="shared" si="12"/>
        <v>3541</v>
      </c>
      <c r="AN15" s="24">
        <f t="shared" si="13"/>
        <v>25536</v>
      </c>
      <c r="AO15" s="24">
        <f t="shared" si="14"/>
        <v>675</v>
      </c>
      <c r="AP15" s="24">
        <f t="shared" si="15"/>
        <v>26211</v>
      </c>
      <c r="AQ15" s="24">
        <f t="shared" si="16"/>
        <v>4718</v>
      </c>
      <c r="AR15" s="25">
        <f t="shared" si="17"/>
        <v>30929</v>
      </c>
      <c r="AS15" s="25">
        <f t="shared" si="23"/>
        <v>20389</v>
      </c>
      <c r="AT15" s="25">
        <f t="shared" si="24"/>
        <v>21995</v>
      </c>
      <c r="AW15" s="39"/>
    </row>
    <row r="16" spans="1:49" x14ac:dyDescent="0.2">
      <c r="A16" s="6">
        <f t="shared" si="18"/>
        <v>11</v>
      </c>
      <c r="B16" s="36">
        <v>3562044038</v>
      </c>
      <c r="C16" s="6"/>
      <c r="D16" s="4" t="s">
        <v>169</v>
      </c>
      <c r="E16" s="4" t="s">
        <v>170</v>
      </c>
      <c r="F16" s="38">
        <v>44194</v>
      </c>
      <c r="G16" s="5" t="s">
        <v>66</v>
      </c>
      <c r="H16" s="5" t="s">
        <v>154</v>
      </c>
      <c r="I16" s="34" t="s">
        <v>171</v>
      </c>
      <c r="J16" s="34">
        <v>1113758487</v>
      </c>
      <c r="K16" s="6">
        <v>26</v>
      </c>
      <c r="L16" s="6">
        <v>25</v>
      </c>
      <c r="M16" s="6">
        <v>0</v>
      </c>
      <c r="N16" s="6">
        <v>0</v>
      </c>
      <c r="O16" s="6">
        <f t="shared" si="19"/>
        <v>25</v>
      </c>
      <c r="P16" s="21">
        <v>19279</v>
      </c>
      <c r="Q16" s="21">
        <v>1187</v>
      </c>
      <c r="R16" s="21">
        <v>0</v>
      </c>
      <c r="S16" s="6">
        <v>0</v>
      </c>
      <c r="T16" s="6">
        <f t="shared" si="0"/>
        <v>20466</v>
      </c>
      <c r="U16" s="6">
        <f t="shared" si="1"/>
        <v>18538</v>
      </c>
      <c r="V16" s="6">
        <f t="shared" si="2"/>
        <v>1141</v>
      </c>
      <c r="W16" s="6">
        <f t="shared" si="3"/>
        <v>0</v>
      </c>
      <c r="X16" s="6">
        <f t="shared" si="4"/>
        <v>0</v>
      </c>
      <c r="Y16" s="6">
        <f t="shared" si="5"/>
        <v>19679</v>
      </c>
      <c r="Z16" s="6">
        <f t="shared" si="6"/>
        <v>1544</v>
      </c>
      <c r="AA16" s="6">
        <f t="shared" si="7"/>
        <v>1134</v>
      </c>
      <c r="AB16" s="4">
        <f t="shared" si="8"/>
        <v>22357</v>
      </c>
      <c r="AC16" s="4">
        <f t="shared" si="20"/>
        <v>168</v>
      </c>
      <c r="AD16" s="24">
        <f>ROUND(AB16-V16-Z16,)*12%</f>
        <v>2360.64</v>
      </c>
      <c r="AE16" s="4">
        <v>0</v>
      </c>
      <c r="AF16" s="4">
        <f t="shared" si="9"/>
        <v>19828</v>
      </c>
      <c r="AG16" s="48">
        <f t="shared" si="10"/>
        <v>727</v>
      </c>
      <c r="AH16" s="24">
        <f t="shared" si="25"/>
        <v>2557</v>
      </c>
      <c r="AI16" s="6">
        <v>0</v>
      </c>
      <c r="AJ16" s="4">
        <f t="shared" si="11"/>
        <v>168</v>
      </c>
      <c r="AK16" s="6">
        <v>0</v>
      </c>
      <c r="AL16" s="6">
        <v>0</v>
      </c>
      <c r="AM16" s="24">
        <f t="shared" si="12"/>
        <v>3452</v>
      </c>
      <c r="AN16" s="24">
        <f t="shared" si="13"/>
        <v>25809</v>
      </c>
      <c r="AO16" s="24">
        <f t="shared" si="14"/>
        <v>649</v>
      </c>
      <c r="AP16" s="24">
        <f t="shared" si="15"/>
        <v>26458</v>
      </c>
      <c r="AQ16" s="24">
        <f t="shared" si="16"/>
        <v>4762</v>
      </c>
      <c r="AR16" s="25">
        <f t="shared" si="17"/>
        <v>31220</v>
      </c>
      <c r="AS16" s="25">
        <f t="shared" si="23"/>
        <v>19672</v>
      </c>
      <c r="AT16" s="25">
        <f t="shared" si="24"/>
        <v>22357</v>
      </c>
      <c r="AW16" s="39"/>
    </row>
    <row r="17" spans="1:50" x14ac:dyDescent="0.2">
      <c r="A17" s="6">
        <f t="shared" si="18"/>
        <v>12</v>
      </c>
      <c r="B17" s="36">
        <v>3562060691</v>
      </c>
      <c r="C17" s="6"/>
      <c r="D17" s="4" t="s">
        <v>160</v>
      </c>
      <c r="E17" s="4" t="s">
        <v>161</v>
      </c>
      <c r="F17" s="38">
        <v>44446</v>
      </c>
      <c r="G17" s="5" t="s">
        <v>66</v>
      </c>
      <c r="H17" s="5" t="s">
        <v>67</v>
      </c>
      <c r="I17" s="34" t="s">
        <v>162</v>
      </c>
      <c r="J17" s="34" t="s">
        <v>163</v>
      </c>
      <c r="K17" s="6">
        <v>26</v>
      </c>
      <c r="L17" s="6">
        <v>26</v>
      </c>
      <c r="M17" s="6">
        <v>0</v>
      </c>
      <c r="N17" s="6">
        <v>0</v>
      </c>
      <c r="O17" s="6">
        <f t="shared" si="19"/>
        <v>26</v>
      </c>
      <c r="P17" s="21">
        <v>19279</v>
      </c>
      <c r="Q17" s="21">
        <v>0</v>
      </c>
      <c r="R17" s="21">
        <v>0</v>
      </c>
      <c r="S17" s="6">
        <v>0</v>
      </c>
      <c r="T17" s="6">
        <f t="shared" si="0"/>
        <v>19279</v>
      </c>
      <c r="U17" s="6">
        <f t="shared" si="1"/>
        <v>19279</v>
      </c>
      <c r="V17" s="6">
        <f t="shared" si="2"/>
        <v>0</v>
      </c>
      <c r="W17" s="6">
        <f t="shared" si="3"/>
        <v>0</v>
      </c>
      <c r="X17" s="6">
        <f t="shared" si="4"/>
        <v>0</v>
      </c>
      <c r="Y17" s="6">
        <f t="shared" si="5"/>
        <v>19279</v>
      </c>
      <c r="Z17" s="6">
        <f t="shared" si="6"/>
        <v>1606</v>
      </c>
      <c r="AA17" s="6">
        <f t="shared" si="7"/>
        <v>1110</v>
      </c>
      <c r="AB17" s="4">
        <f t="shared" si="8"/>
        <v>21995</v>
      </c>
      <c r="AC17" s="4">
        <f t="shared" si="20"/>
        <v>165</v>
      </c>
      <c r="AD17" s="24">
        <f>ROUND(IF(($AB17-V17)*13%&gt;1800,1800,($AB17-V17)*13%),0)</f>
        <v>1800</v>
      </c>
      <c r="AE17" s="4">
        <v>0</v>
      </c>
      <c r="AF17" s="4">
        <f t="shared" si="9"/>
        <v>20030</v>
      </c>
      <c r="AG17" s="48">
        <f t="shared" si="10"/>
        <v>715</v>
      </c>
      <c r="AH17" s="24">
        <f>ROUND(IF(($AB17-Z17)*12%&gt;1950,1950,(AB17-Z17)*13%),0)</f>
        <v>1950</v>
      </c>
      <c r="AI17" s="6">
        <v>0</v>
      </c>
      <c r="AJ17" s="4">
        <f t="shared" si="11"/>
        <v>175</v>
      </c>
      <c r="AK17" s="6">
        <v>0</v>
      </c>
      <c r="AL17" s="6">
        <v>0</v>
      </c>
      <c r="AM17" s="24">
        <f t="shared" si="12"/>
        <v>2840</v>
      </c>
      <c r="AN17" s="24">
        <f t="shared" si="13"/>
        <v>24835</v>
      </c>
      <c r="AO17" s="24">
        <f t="shared" si="14"/>
        <v>675</v>
      </c>
      <c r="AP17" s="24">
        <f t="shared" si="15"/>
        <v>25510</v>
      </c>
      <c r="AQ17" s="24">
        <f t="shared" si="16"/>
        <v>4592</v>
      </c>
      <c r="AR17" s="25">
        <f t="shared" si="17"/>
        <v>30102</v>
      </c>
      <c r="AS17" s="25">
        <v>15000</v>
      </c>
      <c r="AT17" s="25">
        <f t="shared" si="24"/>
        <v>21995</v>
      </c>
      <c r="AW17" s="39"/>
    </row>
    <row r="18" spans="1:50" x14ac:dyDescent="0.2">
      <c r="A18" s="6">
        <f t="shared" si="18"/>
        <v>13</v>
      </c>
      <c r="B18" s="36">
        <v>3562033964</v>
      </c>
      <c r="C18" s="6"/>
      <c r="D18" s="4" t="s">
        <v>172</v>
      </c>
      <c r="E18" s="4" t="s">
        <v>173</v>
      </c>
      <c r="F18" s="38">
        <v>43876</v>
      </c>
      <c r="G18" s="5" t="s">
        <v>70</v>
      </c>
      <c r="H18" s="5" t="s">
        <v>67</v>
      </c>
      <c r="I18" s="34" t="s">
        <v>175</v>
      </c>
      <c r="J18" s="34" t="s">
        <v>251</v>
      </c>
      <c r="K18" s="6">
        <v>26</v>
      </c>
      <c r="L18" s="6">
        <v>26</v>
      </c>
      <c r="M18" s="6">
        <v>0</v>
      </c>
      <c r="N18" s="6">
        <v>0</v>
      </c>
      <c r="O18" s="6">
        <f t="shared" si="19"/>
        <v>26</v>
      </c>
      <c r="P18" s="21">
        <v>17494</v>
      </c>
      <c r="Q18" s="21">
        <v>0</v>
      </c>
      <c r="R18" s="21">
        <v>0</v>
      </c>
      <c r="S18" s="6">
        <v>0</v>
      </c>
      <c r="T18" s="6">
        <v>14810</v>
      </c>
      <c r="U18" s="6">
        <f t="shared" ref="U18:W38" si="26">ROUND(P18/$K18*$O18,0)</f>
        <v>17494</v>
      </c>
      <c r="V18" s="6">
        <f t="shared" ref="V18:V37" si="27">ROUND(Q18/$K18*$O18,0)</f>
        <v>0</v>
      </c>
      <c r="W18" s="6">
        <f t="shared" ref="W18:W37" si="28">ROUND(R18/$K18*$O18,0)</f>
        <v>0</v>
      </c>
      <c r="X18" s="6">
        <f t="shared" ref="X18:X36" si="29">ROUND(S18/$K18*$O18,0)</f>
        <v>0</v>
      </c>
      <c r="Y18" s="6">
        <f t="shared" si="5"/>
        <v>17494</v>
      </c>
      <c r="Z18" s="6">
        <f t="shared" si="6"/>
        <v>1457</v>
      </c>
      <c r="AA18" s="6">
        <f t="shared" si="7"/>
        <v>1008</v>
      </c>
      <c r="AB18" s="4">
        <f t="shared" si="8"/>
        <v>19959</v>
      </c>
      <c r="AC18" s="4">
        <f t="shared" si="20"/>
        <v>150</v>
      </c>
      <c r="AD18" s="24">
        <f t="shared" ref="AD18:AD32" si="30">ROUND(AB18-V18-Z18,)*12%</f>
        <v>2220.2399999999998</v>
      </c>
      <c r="AE18" s="4">
        <v>0</v>
      </c>
      <c r="AF18" s="4">
        <f t="shared" si="9"/>
        <v>17589</v>
      </c>
      <c r="AG18" s="48">
        <f t="shared" si="10"/>
        <v>649</v>
      </c>
      <c r="AH18" s="24">
        <f t="shared" ref="AH18:AH34" si="31">ROUND((AB18-V18-Z18)*13%,0)</f>
        <v>2405</v>
      </c>
      <c r="AI18" s="6">
        <v>0</v>
      </c>
      <c r="AJ18" s="4">
        <f t="shared" si="11"/>
        <v>175</v>
      </c>
      <c r="AK18" s="6">
        <v>0</v>
      </c>
      <c r="AL18" s="6">
        <v>0</v>
      </c>
      <c r="AM18" s="24">
        <f t="shared" si="12"/>
        <v>3229</v>
      </c>
      <c r="AN18" s="24">
        <f t="shared" si="13"/>
        <v>23188</v>
      </c>
      <c r="AO18" s="24">
        <f t="shared" si="14"/>
        <v>675</v>
      </c>
      <c r="AP18" s="24">
        <f t="shared" si="15"/>
        <v>23863</v>
      </c>
      <c r="AQ18" s="24">
        <f t="shared" si="16"/>
        <v>4295</v>
      </c>
      <c r="AR18" s="25">
        <f t="shared" si="17"/>
        <v>28158</v>
      </c>
      <c r="AS18" s="25">
        <f t="shared" si="23"/>
        <v>18502</v>
      </c>
      <c r="AT18" s="25">
        <f t="shared" si="24"/>
        <v>19959</v>
      </c>
      <c r="AW18" s="39"/>
    </row>
    <row r="19" spans="1:50" x14ac:dyDescent="0.2">
      <c r="A19" s="6">
        <f t="shared" si="18"/>
        <v>14</v>
      </c>
      <c r="B19" s="7">
        <v>3562018295</v>
      </c>
      <c r="C19" s="4">
        <v>5021</v>
      </c>
      <c r="D19" s="4" t="s">
        <v>176</v>
      </c>
      <c r="E19" s="4" t="s">
        <v>177</v>
      </c>
      <c r="F19" s="5">
        <v>43453</v>
      </c>
      <c r="G19" s="5" t="s">
        <v>70</v>
      </c>
      <c r="H19" s="5" t="s">
        <v>154</v>
      </c>
      <c r="I19" s="34" t="s">
        <v>178</v>
      </c>
      <c r="J19" s="34">
        <v>6928679579</v>
      </c>
      <c r="K19" s="6">
        <v>26</v>
      </c>
      <c r="L19" s="6">
        <v>26</v>
      </c>
      <c r="M19" s="6">
        <v>0</v>
      </c>
      <c r="N19" s="6">
        <v>0</v>
      </c>
      <c r="O19" s="6">
        <f t="shared" si="19"/>
        <v>26</v>
      </c>
      <c r="P19" s="21">
        <v>17494</v>
      </c>
      <c r="Q19" s="21">
        <v>0</v>
      </c>
      <c r="R19" s="6">
        <v>0</v>
      </c>
      <c r="S19" s="6">
        <v>0</v>
      </c>
      <c r="T19" s="6">
        <f t="shared" ref="T19:T37" si="32">ROUND(SUM(P19:S19),0)</f>
        <v>17494</v>
      </c>
      <c r="U19" s="6">
        <f t="shared" si="26"/>
        <v>17494</v>
      </c>
      <c r="V19" s="6">
        <f t="shared" si="27"/>
        <v>0</v>
      </c>
      <c r="W19" s="6">
        <f t="shared" si="28"/>
        <v>0</v>
      </c>
      <c r="X19" s="6">
        <f t="shared" si="29"/>
        <v>0</v>
      </c>
      <c r="Y19" s="6">
        <f t="shared" si="5"/>
        <v>17494</v>
      </c>
      <c r="Z19" s="6">
        <f t="shared" si="6"/>
        <v>1457</v>
      </c>
      <c r="AA19" s="6">
        <f t="shared" si="7"/>
        <v>1008</v>
      </c>
      <c r="AB19" s="4">
        <f t="shared" si="8"/>
        <v>19959</v>
      </c>
      <c r="AC19" s="4">
        <f t="shared" si="20"/>
        <v>150</v>
      </c>
      <c r="AD19" s="24">
        <f t="shared" si="30"/>
        <v>2220.2399999999998</v>
      </c>
      <c r="AE19" s="4">
        <v>0</v>
      </c>
      <c r="AF19" s="4">
        <f t="shared" si="9"/>
        <v>17589</v>
      </c>
      <c r="AG19" s="48">
        <f t="shared" si="10"/>
        <v>649</v>
      </c>
      <c r="AH19" s="24">
        <f t="shared" si="31"/>
        <v>2405</v>
      </c>
      <c r="AI19" s="6">
        <v>0</v>
      </c>
      <c r="AJ19" s="4">
        <f t="shared" si="11"/>
        <v>175</v>
      </c>
      <c r="AK19" s="6">
        <v>0</v>
      </c>
      <c r="AL19" s="6">
        <v>0</v>
      </c>
      <c r="AM19" s="24">
        <f t="shared" si="12"/>
        <v>3229</v>
      </c>
      <c r="AN19" s="24">
        <f t="shared" si="13"/>
        <v>23188</v>
      </c>
      <c r="AO19" s="24">
        <f t="shared" si="14"/>
        <v>675</v>
      </c>
      <c r="AP19" s="24">
        <f t="shared" si="15"/>
        <v>23863</v>
      </c>
      <c r="AQ19" s="24">
        <f t="shared" si="16"/>
        <v>4295</v>
      </c>
      <c r="AR19" s="25">
        <f t="shared" si="17"/>
        <v>28158</v>
      </c>
      <c r="AS19" s="25">
        <f t="shared" si="23"/>
        <v>18502</v>
      </c>
      <c r="AT19" s="25">
        <f t="shared" si="24"/>
        <v>19959</v>
      </c>
      <c r="AW19" s="39"/>
    </row>
    <row r="20" spans="1:50" s="50" customFormat="1" x14ac:dyDescent="0.2">
      <c r="A20" s="6">
        <f t="shared" si="18"/>
        <v>15</v>
      </c>
      <c r="B20" s="7">
        <v>3562017868</v>
      </c>
      <c r="C20" s="4">
        <v>4592</v>
      </c>
      <c r="D20" s="4" t="s">
        <v>179</v>
      </c>
      <c r="E20" s="45" t="s">
        <v>180</v>
      </c>
      <c r="F20" s="46">
        <v>43369</v>
      </c>
      <c r="G20" s="5" t="s">
        <v>66</v>
      </c>
      <c r="H20" s="5" t="s">
        <v>181</v>
      </c>
      <c r="I20" s="47" t="s">
        <v>182</v>
      </c>
      <c r="J20" s="47" t="s">
        <v>183</v>
      </c>
      <c r="K20" s="6">
        <v>26</v>
      </c>
      <c r="L20" s="6">
        <v>26</v>
      </c>
      <c r="M20" s="6">
        <v>0</v>
      </c>
      <c r="N20" s="6">
        <v>0</v>
      </c>
      <c r="O20" s="6">
        <f t="shared" si="19"/>
        <v>26</v>
      </c>
      <c r="P20" s="21">
        <v>19279</v>
      </c>
      <c r="Q20" s="21">
        <v>0</v>
      </c>
      <c r="R20" s="6">
        <v>0</v>
      </c>
      <c r="S20" s="6">
        <v>0</v>
      </c>
      <c r="T20" s="6">
        <f t="shared" si="32"/>
        <v>19279</v>
      </c>
      <c r="U20" s="6">
        <f t="shared" si="26"/>
        <v>19279</v>
      </c>
      <c r="V20" s="6">
        <f t="shared" si="27"/>
        <v>0</v>
      </c>
      <c r="W20" s="6">
        <f t="shared" si="28"/>
        <v>0</v>
      </c>
      <c r="X20" s="6">
        <f t="shared" si="29"/>
        <v>0</v>
      </c>
      <c r="Y20" s="6">
        <f t="shared" si="5"/>
        <v>19279</v>
      </c>
      <c r="Z20" s="6">
        <f t="shared" si="6"/>
        <v>1606</v>
      </c>
      <c r="AA20" s="6">
        <f t="shared" si="7"/>
        <v>1110</v>
      </c>
      <c r="AB20" s="4">
        <f t="shared" si="8"/>
        <v>21995</v>
      </c>
      <c r="AC20" s="4">
        <f t="shared" si="20"/>
        <v>165</v>
      </c>
      <c r="AD20" s="24">
        <f t="shared" si="30"/>
        <v>2446.6799999999998</v>
      </c>
      <c r="AE20" s="4">
        <v>0</v>
      </c>
      <c r="AF20" s="4">
        <f t="shared" si="9"/>
        <v>19383</v>
      </c>
      <c r="AG20" s="48">
        <f t="shared" si="10"/>
        <v>715</v>
      </c>
      <c r="AH20" s="24">
        <f t="shared" si="31"/>
        <v>2651</v>
      </c>
      <c r="AI20" s="6">
        <v>0</v>
      </c>
      <c r="AJ20" s="4">
        <f t="shared" si="11"/>
        <v>175</v>
      </c>
      <c r="AK20" s="6">
        <v>0</v>
      </c>
      <c r="AL20" s="6">
        <v>0</v>
      </c>
      <c r="AM20" s="24">
        <f t="shared" si="12"/>
        <v>3541</v>
      </c>
      <c r="AN20" s="24">
        <f t="shared" si="13"/>
        <v>25536</v>
      </c>
      <c r="AO20" s="24">
        <f t="shared" si="14"/>
        <v>675</v>
      </c>
      <c r="AP20" s="24">
        <f t="shared" si="15"/>
        <v>26211</v>
      </c>
      <c r="AQ20" s="24">
        <f t="shared" si="16"/>
        <v>4718</v>
      </c>
      <c r="AR20" s="25">
        <f t="shared" si="17"/>
        <v>30929</v>
      </c>
      <c r="AS20" s="25">
        <f t="shared" si="23"/>
        <v>20389</v>
      </c>
      <c r="AT20" s="25">
        <f t="shared" si="24"/>
        <v>21995</v>
      </c>
      <c r="AU20" s="15"/>
      <c r="AV20" s="15"/>
      <c r="AW20" s="39"/>
      <c r="AX20" s="15"/>
    </row>
    <row r="21" spans="1:50" s="50" customFormat="1" x14ac:dyDescent="0.2">
      <c r="A21" s="6">
        <f t="shared" si="18"/>
        <v>16</v>
      </c>
      <c r="B21" s="7">
        <v>3562017869</v>
      </c>
      <c r="C21" s="4">
        <v>5024</v>
      </c>
      <c r="D21" s="4" t="s">
        <v>184</v>
      </c>
      <c r="E21" s="45" t="s">
        <v>185</v>
      </c>
      <c r="F21" s="46">
        <v>43405</v>
      </c>
      <c r="G21" s="5" t="s">
        <v>66</v>
      </c>
      <c r="H21" s="5" t="s">
        <v>181</v>
      </c>
      <c r="I21" s="47" t="s">
        <v>186</v>
      </c>
      <c r="J21" s="51" t="s">
        <v>187</v>
      </c>
      <c r="K21" s="6">
        <v>26</v>
      </c>
      <c r="L21" s="6">
        <v>25</v>
      </c>
      <c r="M21" s="6">
        <v>0</v>
      </c>
      <c r="N21" s="6">
        <v>0</v>
      </c>
      <c r="O21" s="6">
        <f t="shared" si="19"/>
        <v>25</v>
      </c>
      <c r="P21" s="21">
        <v>19279</v>
      </c>
      <c r="Q21" s="21">
        <v>8793</v>
      </c>
      <c r="R21" s="6">
        <v>0</v>
      </c>
      <c r="S21" s="6">
        <v>0</v>
      </c>
      <c r="T21" s="6">
        <f t="shared" si="32"/>
        <v>28072</v>
      </c>
      <c r="U21" s="6">
        <f t="shared" si="26"/>
        <v>18538</v>
      </c>
      <c r="V21" s="6">
        <f t="shared" si="27"/>
        <v>8455</v>
      </c>
      <c r="W21" s="6">
        <f t="shared" si="28"/>
        <v>0</v>
      </c>
      <c r="X21" s="6">
        <f t="shared" si="29"/>
        <v>0</v>
      </c>
      <c r="Y21" s="6">
        <f t="shared" si="5"/>
        <v>26993</v>
      </c>
      <c r="Z21" s="6">
        <f t="shared" si="6"/>
        <v>1544</v>
      </c>
      <c r="AA21" s="6">
        <f t="shared" si="7"/>
        <v>1555</v>
      </c>
      <c r="AB21" s="4">
        <f t="shared" si="8"/>
        <v>30092</v>
      </c>
      <c r="AC21" s="4">
        <f t="shared" si="20"/>
        <v>0</v>
      </c>
      <c r="AD21" s="24">
        <f t="shared" si="30"/>
        <v>2411.16</v>
      </c>
      <c r="AE21" s="4">
        <v>0</v>
      </c>
      <c r="AF21" s="4">
        <f t="shared" si="9"/>
        <v>27681</v>
      </c>
      <c r="AG21" s="48">
        <f t="shared" si="10"/>
        <v>0</v>
      </c>
      <c r="AH21" s="24">
        <f t="shared" si="31"/>
        <v>2612</v>
      </c>
      <c r="AI21" s="6">
        <v>0</v>
      </c>
      <c r="AJ21" s="4">
        <f t="shared" si="11"/>
        <v>168</v>
      </c>
      <c r="AK21" s="6">
        <v>0</v>
      </c>
      <c r="AL21" s="6">
        <v>600</v>
      </c>
      <c r="AM21" s="24">
        <f t="shared" si="12"/>
        <v>3380</v>
      </c>
      <c r="AN21" s="24">
        <f t="shared" si="13"/>
        <v>33472</v>
      </c>
      <c r="AO21" s="24">
        <f t="shared" si="14"/>
        <v>649</v>
      </c>
      <c r="AP21" s="24">
        <f t="shared" si="15"/>
        <v>34121</v>
      </c>
      <c r="AQ21" s="24">
        <f t="shared" si="16"/>
        <v>6142</v>
      </c>
      <c r="AR21" s="25">
        <f t="shared" si="17"/>
        <v>40263</v>
      </c>
      <c r="AS21" s="25">
        <f t="shared" si="23"/>
        <v>20093</v>
      </c>
      <c r="AT21" s="25">
        <f t="shared" si="24"/>
        <v>0</v>
      </c>
      <c r="AU21" s="15"/>
      <c r="AV21" s="15"/>
      <c r="AW21" s="39"/>
      <c r="AX21" s="15"/>
    </row>
    <row r="22" spans="1:50" s="50" customFormat="1" x14ac:dyDescent="0.2">
      <c r="A22" s="6">
        <f t="shared" si="18"/>
        <v>17</v>
      </c>
      <c r="B22" s="7">
        <v>3562021019</v>
      </c>
      <c r="C22" s="4">
        <v>6196</v>
      </c>
      <c r="D22" s="4" t="s">
        <v>188</v>
      </c>
      <c r="E22" s="45" t="s">
        <v>189</v>
      </c>
      <c r="F22" s="46">
        <v>43584</v>
      </c>
      <c r="G22" s="5" t="s">
        <v>70</v>
      </c>
      <c r="H22" s="5" t="s">
        <v>174</v>
      </c>
      <c r="I22" s="52" t="s">
        <v>190</v>
      </c>
      <c r="J22" s="52" t="s">
        <v>191</v>
      </c>
      <c r="K22" s="6">
        <v>26</v>
      </c>
      <c r="L22" s="6">
        <v>26</v>
      </c>
      <c r="M22" s="6">
        <v>0</v>
      </c>
      <c r="N22" s="6">
        <v>0</v>
      </c>
      <c r="O22" s="6">
        <f t="shared" si="19"/>
        <v>26</v>
      </c>
      <c r="P22" s="21">
        <v>17494</v>
      </c>
      <c r="Q22" s="21">
        <v>0</v>
      </c>
      <c r="R22" s="6">
        <v>0</v>
      </c>
      <c r="S22" s="6">
        <v>0</v>
      </c>
      <c r="T22" s="6">
        <f t="shared" si="32"/>
        <v>17494</v>
      </c>
      <c r="U22" s="6">
        <f t="shared" si="26"/>
        <v>17494</v>
      </c>
      <c r="V22" s="6">
        <f t="shared" si="27"/>
        <v>0</v>
      </c>
      <c r="W22" s="6">
        <f t="shared" si="28"/>
        <v>0</v>
      </c>
      <c r="X22" s="6">
        <f t="shared" si="29"/>
        <v>0</v>
      </c>
      <c r="Y22" s="6">
        <f t="shared" si="5"/>
        <v>17494</v>
      </c>
      <c r="Z22" s="6">
        <f t="shared" si="6"/>
        <v>1457</v>
      </c>
      <c r="AA22" s="6">
        <f t="shared" si="7"/>
        <v>1008</v>
      </c>
      <c r="AB22" s="4">
        <f t="shared" si="8"/>
        <v>19959</v>
      </c>
      <c r="AC22" s="4">
        <f t="shared" si="20"/>
        <v>150</v>
      </c>
      <c r="AD22" s="24">
        <f t="shared" si="30"/>
        <v>2220.2399999999998</v>
      </c>
      <c r="AE22" s="4">
        <v>0</v>
      </c>
      <c r="AF22" s="4">
        <f t="shared" si="9"/>
        <v>17589</v>
      </c>
      <c r="AG22" s="48">
        <f t="shared" si="10"/>
        <v>649</v>
      </c>
      <c r="AH22" s="24">
        <f t="shared" si="31"/>
        <v>2405</v>
      </c>
      <c r="AI22" s="6">
        <v>0</v>
      </c>
      <c r="AJ22" s="4">
        <f t="shared" si="11"/>
        <v>175</v>
      </c>
      <c r="AK22" s="6">
        <v>0</v>
      </c>
      <c r="AL22" s="6">
        <v>0</v>
      </c>
      <c r="AM22" s="24">
        <f t="shared" si="12"/>
        <v>3229</v>
      </c>
      <c r="AN22" s="24">
        <f t="shared" si="13"/>
        <v>23188</v>
      </c>
      <c r="AO22" s="24">
        <f t="shared" si="14"/>
        <v>675</v>
      </c>
      <c r="AP22" s="24">
        <f t="shared" si="15"/>
        <v>23863</v>
      </c>
      <c r="AQ22" s="24">
        <f t="shared" si="16"/>
        <v>4295</v>
      </c>
      <c r="AR22" s="25">
        <f t="shared" si="17"/>
        <v>28158</v>
      </c>
      <c r="AS22" s="25">
        <f t="shared" si="23"/>
        <v>18502</v>
      </c>
      <c r="AT22" s="25">
        <f t="shared" si="24"/>
        <v>19959</v>
      </c>
      <c r="AU22" s="15"/>
      <c r="AV22" s="15"/>
      <c r="AW22" s="39"/>
      <c r="AX22" s="15"/>
    </row>
    <row r="23" spans="1:50" s="50" customFormat="1" x14ac:dyDescent="0.2">
      <c r="A23" s="6">
        <f t="shared" si="18"/>
        <v>18</v>
      </c>
      <c r="B23" s="7">
        <v>3562021020</v>
      </c>
      <c r="C23" s="4">
        <v>6360</v>
      </c>
      <c r="D23" s="4" t="s">
        <v>192</v>
      </c>
      <c r="E23" s="45" t="s">
        <v>193</v>
      </c>
      <c r="F23" s="46">
        <v>43598</v>
      </c>
      <c r="G23" s="5" t="s">
        <v>70</v>
      </c>
      <c r="H23" s="5" t="s">
        <v>174</v>
      </c>
      <c r="I23" s="53" t="s">
        <v>194</v>
      </c>
      <c r="J23" s="52" t="s">
        <v>195</v>
      </c>
      <c r="K23" s="6">
        <v>26</v>
      </c>
      <c r="L23" s="6">
        <v>17</v>
      </c>
      <c r="M23" s="6">
        <v>0</v>
      </c>
      <c r="N23" s="6">
        <v>0</v>
      </c>
      <c r="O23" s="6">
        <f t="shared" si="19"/>
        <v>17</v>
      </c>
      <c r="P23" s="21">
        <v>17494</v>
      </c>
      <c r="Q23" s="21">
        <v>0</v>
      </c>
      <c r="R23" s="6">
        <v>0</v>
      </c>
      <c r="S23" s="6">
        <v>0</v>
      </c>
      <c r="T23" s="6">
        <f t="shared" si="32"/>
        <v>17494</v>
      </c>
      <c r="U23" s="6">
        <f t="shared" si="26"/>
        <v>11438</v>
      </c>
      <c r="V23" s="6">
        <f t="shared" si="27"/>
        <v>0</v>
      </c>
      <c r="W23" s="6">
        <f t="shared" si="28"/>
        <v>0</v>
      </c>
      <c r="X23" s="6">
        <f t="shared" si="29"/>
        <v>0</v>
      </c>
      <c r="Y23" s="6">
        <f t="shared" si="5"/>
        <v>11438</v>
      </c>
      <c r="Z23" s="6">
        <f t="shared" si="6"/>
        <v>953</v>
      </c>
      <c r="AA23" s="6">
        <f t="shared" si="7"/>
        <v>659</v>
      </c>
      <c r="AB23" s="4">
        <f t="shared" si="8"/>
        <v>13050</v>
      </c>
      <c r="AC23" s="4">
        <f t="shared" si="20"/>
        <v>98</v>
      </c>
      <c r="AD23" s="24">
        <f t="shared" si="30"/>
        <v>1451.6399999999999</v>
      </c>
      <c r="AE23" s="4">
        <v>0</v>
      </c>
      <c r="AF23" s="4">
        <f t="shared" si="9"/>
        <v>11500</v>
      </c>
      <c r="AG23" s="48">
        <f t="shared" si="10"/>
        <v>425</v>
      </c>
      <c r="AH23" s="24">
        <f t="shared" si="31"/>
        <v>1573</v>
      </c>
      <c r="AI23" s="6">
        <v>0</v>
      </c>
      <c r="AJ23" s="4">
        <f t="shared" si="11"/>
        <v>114</v>
      </c>
      <c r="AK23" s="6">
        <v>0</v>
      </c>
      <c r="AL23" s="6">
        <v>0</v>
      </c>
      <c r="AM23" s="24">
        <f t="shared" si="12"/>
        <v>2112</v>
      </c>
      <c r="AN23" s="24">
        <f t="shared" si="13"/>
        <v>15162</v>
      </c>
      <c r="AO23" s="24">
        <f t="shared" si="14"/>
        <v>441</v>
      </c>
      <c r="AP23" s="24">
        <f t="shared" si="15"/>
        <v>15603</v>
      </c>
      <c r="AQ23" s="24">
        <f t="shared" si="16"/>
        <v>2809</v>
      </c>
      <c r="AR23" s="25">
        <f t="shared" si="17"/>
        <v>18412</v>
      </c>
      <c r="AS23" s="25">
        <f t="shared" si="23"/>
        <v>12097</v>
      </c>
      <c r="AT23" s="25">
        <f t="shared" si="24"/>
        <v>13050</v>
      </c>
      <c r="AU23" s="15"/>
      <c r="AV23" s="15"/>
      <c r="AW23" s="39"/>
      <c r="AX23" s="15"/>
    </row>
    <row r="24" spans="1:50" s="50" customFormat="1" x14ac:dyDescent="0.2">
      <c r="A24" s="6">
        <f t="shared" si="18"/>
        <v>19</v>
      </c>
      <c r="B24" s="7">
        <v>3562019997</v>
      </c>
      <c r="C24" s="4">
        <v>5179</v>
      </c>
      <c r="D24" s="4" t="s">
        <v>196</v>
      </c>
      <c r="E24" s="45" t="s">
        <v>197</v>
      </c>
      <c r="F24" s="46">
        <v>43474</v>
      </c>
      <c r="G24" s="5" t="s">
        <v>70</v>
      </c>
      <c r="H24" s="5" t="s">
        <v>174</v>
      </c>
      <c r="I24" s="52" t="s">
        <v>198</v>
      </c>
      <c r="J24" s="52" t="s">
        <v>199</v>
      </c>
      <c r="K24" s="6">
        <v>26</v>
      </c>
      <c r="L24" s="6">
        <v>25</v>
      </c>
      <c r="M24" s="6">
        <v>0</v>
      </c>
      <c r="N24" s="6">
        <v>0</v>
      </c>
      <c r="O24" s="6">
        <f t="shared" si="19"/>
        <v>25</v>
      </c>
      <c r="P24" s="21">
        <v>17494</v>
      </c>
      <c r="Q24" s="21">
        <v>0</v>
      </c>
      <c r="R24" s="6">
        <v>0</v>
      </c>
      <c r="S24" s="6">
        <v>0</v>
      </c>
      <c r="T24" s="6">
        <f t="shared" si="32"/>
        <v>17494</v>
      </c>
      <c r="U24" s="6">
        <f t="shared" si="26"/>
        <v>16821</v>
      </c>
      <c r="V24" s="6">
        <f t="shared" si="27"/>
        <v>0</v>
      </c>
      <c r="W24" s="6">
        <f t="shared" si="28"/>
        <v>0</v>
      </c>
      <c r="X24" s="6">
        <f t="shared" si="29"/>
        <v>0</v>
      </c>
      <c r="Y24" s="6">
        <f t="shared" si="5"/>
        <v>16821</v>
      </c>
      <c r="Z24" s="6">
        <f t="shared" si="6"/>
        <v>1401</v>
      </c>
      <c r="AA24" s="6">
        <f t="shared" si="7"/>
        <v>969</v>
      </c>
      <c r="AB24" s="4">
        <f t="shared" si="8"/>
        <v>19191</v>
      </c>
      <c r="AC24" s="4">
        <f t="shared" si="20"/>
        <v>144</v>
      </c>
      <c r="AD24" s="24">
        <f t="shared" si="30"/>
        <v>2134.7999999999997</v>
      </c>
      <c r="AE24" s="4">
        <v>0</v>
      </c>
      <c r="AF24" s="4">
        <f t="shared" si="9"/>
        <v>16912</v>
      </c>
      <c r="AG24" s="48">
        <f t="shared" si="10"/>
        <v>624</v>
      </c>
      <c r="AH24" s="24">
        <f t="shared" si="31"/>
        <v>2313</v>
      </c>
      <c r="AI24" s="6">
        <v>0</v>
      </c>
      <c r="AJ24" s="4">
        <f t="shared" si="11"/>
        <v>168</v>
      </c>
      <c r="AK24" s="6">
        <v>0</v>
      </c>
      <c r="AL24" s="6">
        <v>0</v>
      </c>
      <c r="AM24" s="24">
        <f t="shared" si="12"/>
        <v>3105</v>
      </c>
      <c r="AN24" s="24">
        <f t="shared" si="13"/>
        <v>22296</v>
      </c>
      <c r="AO24" s="24">
        <f t="shared" si="14"/>
        <v>649</v>
      </c>
      <c r="AP24" s="24">
        <f t="shared" si="15"/>
        <v>22945</v>
      </c>
      <c r="AQ24" s="24">
        <f t="shared" si="16"/>
        <v>4130</v>
      </c>
      <c r="AR24" s="25">
        <f t="shared" si="17"/>
        <v>27075</v>
      </c>
      <c r="AS24" s="25">
        <f t="shared" si="23"/>
        <v>17790</v>
      </c>
      <c r="AT24" s="25">
        <f t="shared" si="24"/>
        <v>19191</v>
      </c>
      <c r="AU24" s="15"/>
      <c r="AV24" s="15"/>
      <c r="AW24" s="39"/>
      <c r="AX24" s="15"/>
    </row>
    <row r="25" spans="1:50" s="50" customFormat="1" x14ac:dyDescent="0.2">
      <c r="A25" s="6">
        <f t="shared" si="18"/>
        <v>20</v>
      </c>
      <c r="B25" s="7">
        <v>3562027441</v>
      </c>
      <c r="C25" s="4"/>
      <c r="D25" s="54" t="s">
        <v>200</v>
      </c>
      <c r="E25" s="55" t="s">
        <v>201</v>
      </c>
      <c r="F25" s="46">
        <v>43648</v>
      </c>
      <c r="G25" s="5" t="s">
        <v>70</v>
      </c>
      <c r="H25" s="5" t="s">
        <v>174</v>
      </c>
      <c r="I25" s="52" t="s">
        <v>202</v>
      </c>
      <c r="J25" s="52" t="s">
        <v>203</v>
      </c>
      <c r="K25" s="6">
        <v>26</v>
      </c>
      <c r="L25" s="6">
        <v>23</v>
      </c>
      <c r="M25" s="6">
        <v>0</v>
      </c>
      <c r="N25" s="6">
        <v>0</v>
      </c>
      <c r="O25" s="6">
        <f t="shared" si="19"/>
        <v>23</v>
      </c>
      <c r="P25" s="21">
        <v>17494</v>
      </c>
      <c r="Q25" s="21">
        <v>0</v>
      </c>
      <c r="R25" s="6">
        <v>0</v>
      </c>
      <c r="S25" s="6">
        <v>0</v>
      </c>
      <c r="T25" s="6">
        <f t="shared" si="32"/>
        <v>17494</v>
      </c>
      <c r="U25" s="6">
        <f t="shared" si="26"/>
        <v>15475</v>
      </c>
      <c r="V25" s="6">
        <f t="shared" si="27"/>
        <v>0</v>
      </c>
      <c r="W25" s="6">
        <f t="shared" si="28"/>
        <v>0</v>
      </c>
      <c r="X25" s="6">
        <f t="shared" si="29"/>
        <v>0</v>
      </c>
      <c r="Y25" s="6">
        <f t="shared" si="5"/>
        <v>15475</v>
      </c>
      <c r="Z25" s="6">
        <f t="shared" si="6"/>
        <v>1289</v>
      </c>
      <c r="AA25" s="6">
        <f t="shared" si="7"/>
        <v>891</v>
      </c>
      <c r="AB25" s="4">
        <f t="shared" si="8"/>
        <v>17655</v>
      </c>
      <c r="AC25" s="4">
        <f t="shared" si="20"/>
        <v>133</v>
      </c>
      <c r="AD25" s="24">
        <f t="shared" si="30"/>
        <v>1963.9199999999998</v>
      </c>
      <c r="AE25" s="4">
        <v>0</v>
      </c>
      <c r="AF25" s="4">
        <f t="shared" si="9"/>
        <v>15558</v>
      </c>
      <c r="AG25" s="48">
        <f t="shared" si="10"/>
        <v>574</v>
      </c>
      <c r="AH25" s="24">
        <f t="shared" si="31"/>
        <v>2128</v>
      </c>
      <c r="AI25" s="6">
        <v>0</v>
      </c>
      <c r="AJ25" s="4">
        <f t="shared" si="11"/>
        <v>155</v>
      </c>
      <c r="AK25" s="6">
        <v>0</v>
      </c>
      <c r="AL25" s="6">
        <v>0</v>
      </c>
      <c r="AM25" s="24">
        <f t="shared" si="12"/>
        <v>2857</v>
      </c>
      <c r="AN25" s="24">
        <f t="shared" si="13"/>
        <v>20512</v>
      </c>
      <c r="AO25" s="24">
        <f t="shared" si="14"/>
        <v>597</v>
      </c>
      <c r="AP25" s="24">
        <f t="shared" si="15"/>
        <v>21109</v>
      </c>
      <c r="AQ25" s="24">
        <f t="shared" si="16"/>
        <v>3800</v>
      </c>
      <c r="AR25" s="25">
        <f t="shared" si="17"/>
        <v>24909</v>
      </c>
      <c r="AS25" s="25">
        <f t="shared" si="23"/>
        <v>16366</v>
      </c>
      <c r="AT25" s="25">
        <f t="shared" si="24"/>
        <v>17655</v>
      </c>
      <c r="AU25" s="15"/>
      <c r="AV25" s="15"/>
      <c r="AW25" s="39"/>
      <c r="AX25" s="15"/>
    </row>
    <row r="26" spans="1:50" s="50" customFormat="1" x14ac:dyDescent="0.2">
      <c r="A26" s="6">
        <f t="shared" si="18"/>
        <v>21</v>
      </c>
      <c r="B26" s="7">
        <v>3562026906</v>
      </c>
      <c r="C26" s="4"/>
      <c r="D26" s="54" t="s">
        <v>204</v>
      </c>
      <c r="E26" s="55" t="s">
        <v>205</v>
      </c>
      <c r="F26" s="46">
        <v>43654</v>
      </c>
      <c r="G26" s="5" t="s">
        <v>70</v>
      </c>
      <c r="H26" s="5" t="s">
        <v>174</v>
      </c>
      <c r="I26" s="52" t="s">
        <v>206</v>
      </c>
      <c r="J26" s="52" t="s">
        <v>207</v>
      </c>
      <c r="K26" s="6">
        <v>26</v>
      </c>
      <c r="L26" s="6">
        <v>20</v>
      </c>
      <c r="M26" s="6">
        <v>0</v>
      </c>
      <c r="N26" s="6">
        <v>0</v>
      </c>
      <c r="O26" s="6">
        <f t="shared" si="19"/>
        <v>20</v>
      </c>
      <c r="P26" s="21">
        <v>17494</v>
      </c>
      <c r="Q26" s="21">
        <v>0</v>
      </c>
      <c r="R26" s="6">
        <v>0</v>
      </c>
      <c r="S26" s="6">
        <v>0</v>
      </c>
      <c r="T26" s="6">
        <f t="shared" si="32"/>
        <v>17494</v>
      </c>
      <c r="U26" s="6">
        <f t="shared" si="26"/>
        <v>13457</v>
      </c>
      <c r="V26" s="6">
        <f t="shared" si="27"/>
        <v>0</v>
      </c>
      <c r="W26" s="6">
        <f t="shared" si="28"/>
        <v>0</v>
      </c>
      <c r="X26" s="6">
        <f t="shared" si="29"/>
        <v>0</v>
      </c>
      <c r="Y26" s="6">
        <f t="shared" si="5"/>
        <v>13457</v>
      </c>
      <c r="Z26" s="6">
        <f t="shared" si="6"/>
        <v>1121</v>
      </c>
      <c r="AA26" s="6">
        <f t="shared" si="7"/>
        <v>775</v>
      </c>
      <c r="AB26" s="4">
        <f t="shared" si="8"/>
        <v>15353</v>
      </c>
      <c r="AC26" s="4">
        <f t="shared" si="20"/>
        <v>116</v>
      </c>
      <c r="AD26" s="24">
        <f t="shared" si="30"/>
        <v>1707.84</v>
      </c>
      <c r="AE26" s="4">
        <v>0</v>
      </c>
      <c r="AF26" s="4">
        <f t="shared" si="9"/>
        <v>13529</v>
      </c>
      <c r="AG26" s="48">
        <f t="shared" si="10"/>
        <v>499</v>
      </c>
      <c r="AH26" s="24">
        <f t="shared" si="31"/>
        <v>1850</v>
      </c>
      <c r="AI26" s="6">
        <v>0</v>
      </c>
      <c r="AJ26" s="4">
        <f t="shared" si="11"/>
        <v>135</v>
      </c>
      <c r="AK26" s="6">
        <v>0</v>
      </c>
      <c r="AL26" s="6">
        <v>0</v>
      </c>
      <c r="AM26" s="24">
        <f t="shared" si="12"/>
        <v>2484</v>
      </c>
      <c r="AN26" s="24">
        <f t="shared" si="13"/>
        <v>17837</v>
      </c>
      <c r="AO26" s="24">
        <f t="shared" si="14"/>
        <v>519</v>
      </c>
      <c r="AP26" s="24">
        <f t="shared" si="15"/>
        <v>18356</v>
      </c>
      <c r="AQ26" s="24">
        <f t="shared" si="16"/>
        <v>3304</v>
      </c>
      <c r="AR26" s="25">
        <f t="shared" si="17"/>
        <v>21660</v>
      </c>
      <c r="AS26" s="25">
        <f t="shared" si="23"/>
        <v>14232</v>
      </c>
      <c r="AT26" s="25">
        <f t="shared" si="24"/>
        <v>15353</v>
      </c>
      <c r="AU26" s="15"/>
      <c r="AV26" s="15"/>
      <c r="AW26" s="39"/>
      <c r="AX26" s="15"/>
    </row>
    <row r="27" spans="1:50" s="50" customFormat="1" x14ac:dyDescent="0.2">
      <c r="A27" s="6">
        <f t="shared" si="18"/>
        <v>22</v>
      </c>
      <c r="B27" s="7">
        <v>3562027124</v>
      </c>
      <c r="C27" s="4"/>
      <c r="D27" s="54" t="s">
        <v>208</v>
      </c>
      <c r="E27" s="55" t="s">
        <v>209</v>
      </c>
      <c r="F27" s="46">
        <v>43647</v>
      </c>
      <c r="G27" s="5" t="s">
        <v>66</v>
      </c>
      <c r="H27" s="5" t="s">
        <v>181</v>
      </c>
      <c r="I27" s="52" t="s">
        <v>210</v>
      </c>
      <c r="J27" s="52" t="s">
        <v>211</v>
      </c>
      <c r="K27" s="6">
        <v>26</v>
      </c>
      <c r="L27" s="6">
        <v>25</v>
      </c>
      <c r="M27" s="6">
        <v>0</v>
      </c>
      <c r="N27" s="6">
        <v>0</v>
      </c>
      <c r="O27" s="6">
        <f t="shared" si="19"/>
        <v>25</v>
      </c>
      <c r="P27" s="21">
        <v>19279</v>
      </c>
      <c r="Q27" s="21">
        <v>0</v>
      </c>
      <c r="R27" s="6">
        <v>0</v>
      </c>
      <c r="S27" s="6">
        <v>0</v>
      </c>
      <c r="T27" s="6">
        <f t="shared" si="32"/>
        <v>19279</v>
      </c>
      <c r="U27" s="6">
        <f t="shared" si="26"/>
        <v>18538</v>
      </c>
      <c r="V27" s="6">
        <f t="shared" si="27"/>
        <v>0</v>
      </c>
      <c r="W27" s="6">
        <f t="shared" si="28"/>
        <v>0</v>
      </c>
      <c r="X27" s="6">
        <f t="shared" si="29"/>
        <v>0</v>
      </c>
      <c r="Y27" s="6">
        <f t="shared" si="5"/>
        <v>18538</v>
      </c>
      <c r="Z27" s="6">
        <f t="shared" si="6"/>
        <v>1544</v>
      </c>
      <c r="AA27" s="6">
        <f t="shared" si="7"/>
        <v>1068</v>
      </c>
      <c r="AB27" s="4">
        <f t="shared" si="8"/>
        <v>21150</v>
      </c>
      <c r="AC27" s="4">
        <f t="shared" si="20"/>
        <v>159</v>
      </c>
      <c r="AD27" s="24">
        <f t="shared" si="30"/>
        <v>2352.7199999999998</v>
      </c>
      <c r="AE27" s="4">
        <v>0</v>
      </c>
      <c r="AF27" s="4">
        <f t="shared" si="9"/>
        <v>18638</v>
      </c>
      <c r="AG27" s="48">
        <f t="shared" si="10"/>
        <v>688</v>
      </c>
      <c r="AH27" s="24">
        <f t="shared" si="31"/>
        <v>2549</v>
      </c>
      <c r="AI27" s="6">
        <v>0</v>
      </c>
      <c r="AJ27" s="4">
        <f t="shared" si="11"/>
        <v>168</v>
      </c>
      <c r="AK27" s="6">
        <v>0</v>
      </c>
      <c r="AL27" s="6">
        <v>0</v>
      </c>
      <c r="AM27" s="24">
        <f t="shared" si="12"/>
        <v>3405</v>
      </c>
      <c r="AN27" s="24">
        <f t="shared" si="13"/>
        <v>24555</v>
      </c>
      <c r="AO27" s="24">
        <f t="shared" si="14"/>
        <v>649</v>
      </c>
      <c r="AP27" s="24">
        <f t="shared" si="15"/>
        <v>25204</v>
      </c>
      <c r="AQ27" s="24">
        <f t="shared" si="16"/>
        <v>4537</v>
      </c>
      <c r="AR27" s="25">
        <f t="shared" si="17"/>
        <v>29741</v>
      </c>
      <c r="AS27" s="25">
        <f t="shared" si="23"/>
        <v>19606</v>
      </c>
      <c r="AT27" s="25">
        <f t="shared" si="24"/>
        <v>21150</v>
      </c>
      <c r="AU27" s="15"/>
      <c r="AV27" s="15"/>
      <c r="AW27" s="39"/>
      <c r="AX27" s="15"/>
    </row>
    <row r="28" spans="1:50" s="50" customFormat="1" x14ac:dyDescent="0.2">
      <c r="A28" s="6">
        <f t="shared" si="18"/>
        <v>23</v>
      </c>
      <c r="B28" s="7">
        <v>3562027123</v>
      </c>
      <c r="C28" s="4"/>
      <c r="D28" s="54" t="s">
        <v>212</v>
      </c>
      <c r="E28" s="55" t="s">
        <v>213</v>
      </c>
      <c r="F28" s="46">
        <v>43648</v>
      </c>
      <c r="G28" s="5" t="s">
        <v>70</v>
      </c>
      <c r="H28" s="5" t="s">
        <v>174</v>
      </c>
      <c r="I28" s="52" t="s">
        <v>214</v>
      </c>
      <c r="J28" s="52" t="s">
        <v>215</v>
      </c>
      <c r="K28" s="6">
        <v>26</v>
      </c>
      <c r="L28" s="6">
        <v>26</v>
      </c>
      <c r="M28" s="6">
        <v>0</v>
      </c>
      <c r="N28" s="6">
        <v>0</v>
      </c>
      <c r="O28" s="6">
        <f t="shared" si="19"/>
        <v>26</v>
      </c>
      <c r="P28" s="21">
        <v>17494</v>
      </c>
      <c r="Q28" s="21">
        <v>0</v>
      </c>
      <c r="R28" s="6">
        <v>0</v>
      </c>
      <c r="S28" s="6">
        <v>0</v>
      </c>
      <c r="T28" s="6">
        <f t="shared" si="32"/>
        <v>17494</v>
      </c>
      <c r="U28" s="6">
        <f t="shared" si="26"/>
        <v>17494</v>
      </c>
      <c r="V28" s="6">
        <f t="shared" si="27"/>
        <v>0</v>
      </c>
      <c r="W28" s="6">
        <f t="shared" si="28"/>
        <v>0</v>
      </c>
      <c r="X28" s="6">
        <f t="shared" si="29"/>
        <v>0</v>
      </c>
      <c r="Y28" s="6">
        <f t="shared" si="5"/>
        <v>17494</v>
      </c>
      <c r="Z28" s="6">
        <f t="shared" si="6"/>
        <v>1457</v>
      </c>
      <c r="AA28" s="6">
        <f t="shared" si="7"/>
        <v>1008</v>
      </c>
      <c r="AB28" s="4">
        <f t="shared" si="8"/>
        <v>19959</v>
      </c>
      <c r="AC28" s="4">
        <f t="shared" si="20"/>
        <v>150</v>
      </c>
      <c r="AD28" s="24">
        <f t="shared" si="30"/>
        <v>2220.2399999999998</v>
      </c>
      <c r="AE28" s="4">
        <v>0</v>
      </c>
      <c r="AF28" s="4">
        <f t="shared" si="9"/>
        <v>17589</v>
      </c>
      <c r="AG28" s="48">
        <f t="shared" si="10"/>
        <v>649</v>
      </c>
      <c r="AH28" s="24">
        <f t="shared" si="31"/>
        <v>2405</v>
      </c>
      <c r="AI28" s="6">
        <v>0</v>
      </c>
      <c r="AJ28" s="4">
        <f t="shared" si="11"/>
        <v>175</v>
      </c>
      <c r="AK28" s="6">
        <v>0</v>
      </c>
      <c r="AL28" s="6">
        <v>0</v>
      </c>
      <c r="AM28" s="24">
        <f t="shared" si="12"/>
        <v>3229</v>
      </c>
      <c r="AN28" s="24">
        <f t="shared" si="13"/>
        <v>23188</v>
      </c>
      <c r="AO28" s="24">
        <f t="shared" si="14"/>
        <v>675</v>
      </c>
      <c r="AP28" s="24">
        <f t="shared" si="15"/>
        <v>23863</v>
      </c>
      <c r="AQ28" s="24">
        <f t="shared" si="16"/>
        <v>4295</v>
      </c>
      <c r="AR28" s="25">
        <f t="shared" si="17"/>
        <v>28158</v>
      </c>
      <c r="AS28" s="25">
        <f t="shared" si="23"/>
        <v>18502</v>
      </c>
      <c r="AT28" s="25">
        <f t="shared" si="24"/>
        <v>19959</v>
      </c>
      <c r="AU28" s="15"/>
      <c r="AV28" s="15"/>
      <c r="AW28" s="39"/>
      <c r="AX28" s="15"/>
    </row>
    <row r="29" spans="1:50" s="50" customFormat="1" x14ac:dyDescent="0.2">
      <c r="A29" s="6">
        <f t="shared" si="18"/>
        <v>24</v>
      </c>
      <c r="B29" s="7">
        <v>3562030249</v>
      </c>
      <c r="C29" s="4"/>
      <c r="D29" s="54" t="s">
        <v>216</v>
      </c>
      <c r="E29" s="55" t="s">
        <v>217</v>
      </c>
      <c r="F29" s="46">
        <v>43753</v>
      </c>
      <c r="G29" s="5" t="s">
        <v>66</v>
      </c>
      <c r="H29" s="5" t="s">
        <v>181</v>
      </c>
      <c r="I29" s="52" t="s">
        <v>218</v>
      </c>
      <c r="J29" s="52" t="s">
        <v>219</v>
      </c>
      <c r="K29" s="6">
        <v>26</v>
      </c>
      <c r="L29" s="6">
        <v>26</v>
      </c>
      <c r="M29" s="6">
        <v>0</v>
      </c>
      <c r="N29" s="6">
        <v>0</v>
      </c>
      <c r="O29" s="6">
        <f t="shared" si="19"/>
        <v>26</v>
      </c>
      <c r="P29" s="21">
        <v>19279</v>
      </c>
      <c r="Q29" s="21">
        <v>2210</v>
      </c>
      <c r="R29" s="6">
        <v>0</v>
      </c>
      <c r="S29" s="6">
        <v>0</v>
      </c>
      <c r="T29" s="6">
        <f t="shared" si="32"/>
        <v>21489</v>
      </c>
      <c r="U29" s="6">
        <f t="shared" si="26"/>
        <v>19279</v>
      </c>
      <c r="V29" s="6">
        <f t="shared" si="27"/>
        <v>2210</v>
      </c>
      <c r="W29" s="6">
        <f t="shared" si="28"/>
        <v>0</v>
      </c>
      <c r="X29" s="6">
        <f t="shared" si="29"/>
        <v>0</v>
      </c>
      <c r="Y29" s="6">
        <f t="shared" si="5"/>
        <v>21489</v>
      </c>
      <c r="Z29" s="6">
        <f t="shared" si="6"/>
        <v>1606</v>
      </c>
      <c r="AA29" s="6">
        <f t="shared" si="7"/>
        <v>1238</v>
      </c>
      <c r="AB29" s="4">
        <f t="shared" si="8"/>
        <v>24333</v>
      </c>
      <c r="AC29" s="4">
        <f t="shared" si="20"/>
        <v>0</v>
      </c>
      <c r="AD29" s="24">
        <f t="shared" si="30"/>
        <v>2462.04</v>
      </c>
      <c r="AE29" s="4">
        <v>0</v>
      </c>
      <c r="AF29" s="4">
        <f t="shared" si="9"/>
        <v>21871</v>
      </c>
      <c r="AG29" s="48">
        <f t="shared" si="10"/>
        <v>0</v>
      </c>
      <c r="AH29" s="24">
        <f t="shared" si="31"/>
        <v>2667</v>
      </c>
      <c r="AI29" s="6">
        <v>0</v>
      </c>
      <c r="AJ29" s="4">
        <f t="shared" si="11"/>
        <v>175</v>
      </c>
      <c r="AK29" s="6">
        <v>0</v>
      </c>
      <c r="AL29" s="6">
        <v>500</v>
      </c>
      <c r="AM29" s="24">
        <f t="shared" si="12"/>
        <v>3342</v>
      </c>
      <c r="AN29" s="24">
        <f t="shared" si="13"/>
        <v>27675</v>
      </c>
      <c r="AO29" s="24">
        <f t="shared" si="14"/>
        <v>675</v>
      </c>
      <c r="AP29" s="24">
        <f t="shared" si="15"/>
        <v>28350</v>
      </c>
      <c r="AQ29" s="24">
        <f t="shared" si="16"/>
        <v>5103</v>
      </c>
      <c r="AR29" s="25">
        <f t="shared" si="17"/>
        <v>33453</v>
      </c>
      <c r="AS29" s="25">
        <f t="shared" si="23"/>
        <v>20517</v>
      </c>
      <c r="AT29" s="25">
        <f t="shared" si="24"/>
        <v>0</v>
      </c>
      <c r="AU29" s="15"/>
      <c r="AV29" s="15"/>
      <c r="AW29" s="39"/>
      <c r="AX29" s="15"/>
    </row>
    <row r="30" spans="1:50" s="50" customFormat="1" x14ac:dyDescent="0.2">
      <c r="A30" s="6">
        <f t="shared" si="18"/>
        <v>25</v>
      </c>
      <c r="B30" s="7">
        <v>3562030436</v>
      </c>
      <c r="C30" s="4"/>
      <c r="D30" s="54" t="s">
        <v>220</v>
      </c>
      <c r="E30" s="55" t="s">
        <v>221</v>
      </c>
      <c r="F30" s="46">
        <v>43762</v>
      </c>
      <c r="G30" s="5" t="s">
        <v>66</v>
      </c>
      <c r="H30" s="5" t="s">
        <v>174</v>
      </c>
      <c r="I30" s="52" t="s">
        <v>222</v>
      </c>
      <c r="J30" s="52" t="s">
        <v>223</v>
      </c>
      <c r="K30" s="6">
        <v>26</v>
      </c>
      <c r="L30" s="6">
        <v>26</v>
      </c>
      <c r="M30" s="6">
        <v>0</v>
      </c>
      <c r="N30" s="6">
        <v>0</v>
      </c>
      <c r="O30" s="6">
        <f t="shared" si="19"/>
        <v>26</v>
      </c>
      <c r="P30" s="21">
        <v>19279</v>
      </c>
      <c r="Q30" s="21">
        <v>0</v>
      </c>
      <c r="R30" s="6">
        <v>0</v>
      </c>
      <c r="S30" s="6">
        <v>0</v>
      </c>
      <c r="T30" s="6">
        <f t="shared" si="32"/>
        <v>19279</v>
      </c>
      <c r="U30" s="6">
        <f t="shared" si="26"/>
        <v>19279</v>
      </c>
      <c r="V30" s="6">
        <f t="shared" si="27"/>
        <v>0</v>
      </c>
      <c r="W30" s="6">
        <f t="shared" si="28"/>
        <v>0</v>
      </c>
      <c r="X30" s="6">
        <f t="shared" si="29"/>
        <v>0</v>
      </c>
      <c r="Y30" s="6">
        <f t="shared" si="5"/>
        <v>19279</v>
      </c>
      <c r="Z30" s="6">
        <f t="shared" si="6"/>
        <v>1606</v>
      </c>
      <c r="AA30" s="6">
        <f t="shared" si="7"/>
        <v>1110</v>
      </c>
      <c r="AB30" s="4">
        <f t="shared" si="8"/>
        <v>21995</v>
      </c>
      <c r="AC30" s="4">
        <f t="shared" si="20"/>
        <v>165</v>
      </c>
      <c r="AD30" s="24">
        <f t="shared" si="30"/>
        <v>2446.6799999999998</v>
      </c>
      <c r="AE30" s="4">
        <v>0</v>
      </c>
      <c r="AF30" s="4">
        <f t="shared" si="9"/>
        <v>19383</v>
      </c>
      <c r="AG30" s="48">
        <f t="shared" si="10"/>
        <v>715</v>
      </c>
      <c r="AH30" s="24">
        <f t="shared" si="31"/>
        <v>2651</v>
      </c>
      <c r="AI30" s="6">
        <v>0</v>
      </c>
      <c r="AJ30" s="4">
        <f t="shared" si="11"/>
        <v>175</v>
      </c>
      <c r="AK30" s="6">
        <v>0</v>
      </c>
      <c r="AL30" s="6">
        <v>0</v>
      </c>
      <c r="AM30" s="24">
        <f t="shared" si="12"/>
        <v>3541</v>
      </c>
      <c r="AN30" s="24">
        <f t="shared" si="13"/>
        <v>25536</v>
      </c>
      <c r="AO30" s="24">
        <f t="shared" si="14"/>
        <v>675</v>
      </c>
      <c r="AP30" s="24">
        <f t="shared" si="15"/>
        <v>26211</v>
      </c>
      <c r="AQ30" s="24">
        <f t="shared" si="16"/>
        <v>4718</v>
      </c>
      <c r="AR30" s="25">
        <f t="shared" si="17"/>
        <v>30929</v>
      </c>
      <c r="AS30" s="25">
        <f t="shared" si="23"/>
        <v>20389</v>
      </c>
      <c r="AT30" s="25">
        <f t="shared" si="24"/>
        <v>21995</v>
      </c>
      <c r="AU30" s="15"/>
      <c r="AV30" s="15"/>
      <c r="AW30" s="39"/>
      <c r="AX30" s="15"/>
    </row>
    <row r="31" spans="1:50" s="50" customFormat="1" x14ac:dyDescent="0.2">
      <c r="A31" s="6">
        <f t="shared" si="18"/>
        <v>26</v>
      </c>
      <c r="B31" s="7">
        <v>3562037113</v>
      </c>
      <c r="C31" s="56"/>
      <c r="D31" s="57" t="s">
        <v>224</v>
      </c>
      <c r="E31" s="48" t="s">
        <v>225</v>
      </c>
      <c r="F31" s="46" t="s">
        <v>226</v>
      </c>
      <c r="G31" s="57" t="s">
        <v>66</v>
      </c>
      <c r="H31" s="5" t="s">
        <v>181</v>
      </c>
      <c r="I31" s="58" t="s">
        <v>227</v>
      </c>
      <c r="J31" s="58" t="s">
        <v>228</v>
      </c>
      <c r="K31" s="6">
        <v>26</v>
      </c>
      <c r="L31" s="6">
        <v>26</v>
      </c>
      <c r="M31" s="6">
        <v>0</v>
      </c>
      <c r="N31" s="6">
        <v>0</v>
      </c>
      <c r="O31" s="6">
        <f t="shared" si="19"/>
        <v>26</v>
      </c>
      <c r="P31" s="21">
        <v>19279</v>
      </c>
      <c r="Q31" s="21">
        <v>0</v>
      </c>
      <c r="R31" s="6">
        <v>0</v>
      </c>
      <c r="S31" s="56">
        <v>0</v>
      </c>
      <c r="T31" s="56">
        <f t="shared" si="32"/>
        <v>19279</v>
      </c>
      <c r="U31" s="56">
        <f t="shared" si="26"/>
        <v>19279</v>
      </c>
      <c r="V31" s="56">
        <f t="shared" si="27"/>
        <v>0</v>
      </c>
      <c r="W31" s="56">
        <f t="shared" si="28"/>
        <v>0</v>
      </c>
      <c r="X31" s="56">
        <f t="shared" si="29"/>
        <v>0</v>
      </c>
      <c r="Y31" s="6">
        <f t="shared" si="5"/>
        <v>19279</v>
      </c>
      <c r="Z31" s="6">
        <f t="shared" si="6"/>
        <v>1606</v>
      </c>
      <c r="AA31" s="6">
        <f t="shared" si="7"/>
        <v>1110</v>
      </c>
      <c r="AB31" s="4">
        <f t="shared" si="8"/>
        <v>21995</v>
      </c>
      <c r="AC31" s="4">
        <f t="shared" si="20"/>
        <v>165</v>
      </c>
      <c r="AD31" s="24">
        <f t="shared" si="30"/>
        <v>2446.6799999999998</v>
      </c>
      <c r="AE31" s="4">
        <v>0</v>
      </c>
      <c r="AF31" s="4">
        <f t="shared" si="9"/>
        <v>19383</v>
      </c>
      <c r="AG31" s="48">
        <f t="shared" si="10"/>
        <v>715</v>
      </c>
      <c r="AH31" s="24">
        <f t="shared" si="31"/>
        <v>2651</v>
      </c>
      <c r="AI31" s="6">
        <v>0</v>
      </c>
      <c r="AJ31" s="4">
        <f t="shared" si="11"/>
        <v>175</v>
      </c>
      <c r="AK31" s="6">
        <v>0</v>
      </c>
      <c r="AL31" s="6">
        <v>0</v>
      </c>
      <c r="AM31" s="24">
        <f t="shared" si="12"/>
        <v>3541</v>
      </c>
      <c r="AN31" s="24">
        <f t="shared" si="13"/>
        <v>25536</v>
      </c>
      <c r="AO31" s="24">
        <f t="shared" si="14"/>
        <v>675</v>
      </c>
      <c r="AP31" s="24">
        <f t="shared" si="15"/>
        <v>26211</v>
      </c>
      <c r="AQ31" s="24">
        <f t="shared" si="16"/>
        <v>4718</v>
      </c>
      <c r="AR31" s="25">
        <f t="shared" si="17"/>
        <v>30929</v>
      </c>
      <c r="AS31" s="25">
        <f t="shared" si="23"/>
        <v>20389</v>
      </c>
      <c r="AT31" s="25">
        <f t="shared" si="24"/>
        <v>21995</v>
      </c>
      <c r="AU31" s="15"/>
      <c r="AV31" s="15"/>
      <c r="AW31" s="39"/>
      <c r="AX31" s="15"/>
    </row>
    <row r="32" spans="1:50" s="50" customFormat="1" ht="15" x14ac:dyDescent="0.25">
      <c r="A32" s="6">
        <f t="shared" si="18"/>
        <v>27</v>
      </c>
      <c r="B32" s="7">
        <v>3562017867</v>
      </c>
      <c r="C32" s="56"/>
      <c r="D32" s="57" t="s">
        <v>229</v>
      </c>
      <c r="E32" s="48" t="s">
        <v>230</v>
      </c>
      <c r="F32" s="46">
        <v>44136</v>
      </c>
      <c r="G32" s="57" t="s">
        <v>66</v>
      </c>
      <c r="H32" s="49" t="s">
        <v>181</v>
      </c>
      <c r="I32" s="59" t="s">
        <v>231</v>
      </c>
      <c r="J32" s="59" t="s">
        <v>232</v>
      </c>
      <c r="K32" s="6">
        <v>26</v>
      </c>
      <c r="L32" s="6">
        <v>26</v>
      </c>
      <c r="M32" s="6">
        <v>0</v>
      </c>
      <c r="N32" s="6">
        <v>0</v>
      </c>
      <c r="O32" s="6">
        <f t="shared" si="19"/>
        <v>26</v>
      </c>
      <c r="P32" s="21">
        <v>19279</v>
      </c>
      <c r="Q32" s="21">
        <v>1188</v>
      </c>
      <c r="R32" s="6">
        <v>0</v>
      </c>
      <c r="S32" s="56">
        <v>0</v>
      </c>
      <c r="T32" s="56">
        <f t="shared" si="32"/>
        <v>20467</v>
      </c>
      <c r="U32" s="56">
        <f t="shared" si="26"/>
        <v>19279</v>
      </c>
      <c r="V32" s="56">
        <f t="shared" si="27"/>
        <v>1188</v>
      </c>
      <c r="W32" s="56">
        <f t="shared" si="28"/>
        <v>0</v>
      </c>
      <c r="X32" s="56">
        <f t="shared" si="29"/>
        <v>0</v>
      </c>
      <c r="Y32" s="6">
        <f t="shared" si="5"/>
        <v>20467</v>
      </c>
      <c r="Z32" s="6">
        <f t="shared" si="6"/>
        <v>1606</v>
      </c>
      <c r="AA32" s="6">
        <f t="shared" si="7"/>
        <v>1179</v>
      </c>
      <c r="AB32" s="4">
        <f t="shared" si="8"/>
        <v>23252</v>
      </c>
      <c r="AC32" s="4">
        <f t="shared" si="20"/>
        <v>175</v>
      </c>
      <c r="AD32" s="24">
        <f t="shared" si="30"/>
        <v>2454.96</v>
      </c>
      <c r="AE32" s="4">
        <v>0</v>
      </c>
      <c r="AF32" s="4">
        <f t="shared" si="9"/>
        <v>20622</v>
      </c>
      <c r="AG32" s="48">
        <f t="shared" si="10"/>
        <v>756</v>
      </c>
      <c r="AH32" s="24">
        <f t="shared" si="31"/>
        <v>2660</v>
      </c>
      <c r="AI32" s="6">
        <v>0</v>
      </c>
      <c r="AJ32" s="4">
        <f t="shared" si="11"/>
        <v>175</v>
      </c>
      <c r="AK32" s="6">
        <v>0</v>
      </c>
      <c r="AL32" s="6">
        <v>0</v>
      </c>
      <c r="AM32" s="24">
        <f t="shared" si="12"/>
        <v>3591</v>
      </c>
      <c r="AN32" s="24">
        <f t="shared" si="13"/>
        <v>26843</v>
      </c>
      <c r="AO32" s="24">
        <f t="shared" si="14"/>
        <v>675</v>
      </c>
      <c r="AP32" s="24">
        <f t="shared" si="15"/>
        <v>27518</v>
      </c>
      <c r="AQ32" s="24">
        <f t="shared" si="16"/>
        <v>4953</v>
      </c>
      <c r="AR32" s="25">
        <f t="shared" si="17"/>
        <v>32471</v>
      </c>
      <c r="AS32" s="25">
        <f t="shared" si="23"/>
        <v>20458</v>
      </c>
      <c r="AT32" s="25">
        <f t="shared" si="24"/>
        <v>23252</v>
      </c>
      <c r="AU32" s="15"/>
      <c r="AV32" s="15"/>
      <c r="AW32" s="39"/>
      <c r="AX32" s="15"/>
    </row>
    <row r="33" spans="1:49" x14ac:dyDescent="0.2">
      <c r="A33" s="6">
        <f t="shared" si="18"/>
        <v>28</v>
      </c>
      <c r="B33" s="7">
        <v>3562029973</v>
      </c>
      <c r="C33" s="6">
        <v>6596</v>
      </c>
      <c r="D33" s="4" t="s">
        <v>233</v>
      </c>
      <c r="E33" s="4" t="s">
        <v>234</v>
      </c>
      <c r="F33" s="5">
        <v>43647</v>
      </c>
      <c r="G33" s="5" t="s">
        <v>235</v>
      </c>
      <c r="H33" s="5" t="s">
        <v>174</v>
      </c>
      <c r="I33" s="6" t="s">
        <v>236</v>
      </c>
      <c r="J33" s="6" t="s">
        <v>237</v>
      </c>
      <c r="K33" s="6">
        <v>26</v>
      </c>
      <c r="L33" s="6">
        <v>23.5</v>
      </c>
      <c r="M33" s="6">
        <v>0</v>
      </c>
      <c r="N33" s="6">
        <v>0</v>
      </c>
      <c r="O33" s="6">
        <f t="shared" si="19"/>
        <v>23.5</v>
      </c>
      <c r="P33" s="21">
        <v>17494</v>
      </c>
      <c r="Q33" s="21">
        <v>0</v>
      </c>
      <c r="R33" s="6">
        <v>0</v>
      </c>
      <c r="S33" s="6">
        <v>0</v>
      </c>
      <c r="T33" s="6">
        <f t="shared" si="32"/>
        <v>17494</v>
      </c>
      <c r="U33" s="6">
        <f t="shared" si="26"/>
        <v>15812</v>
      </c>
      <c r="V33" s="6">
        <f t="shared" si="27"/>
        <v>0</v>
      </c>
      <c r="W33" s="6">
        <f t="shared" si="28"/>
        <v>0</v>
      </c>
      <c r="X33" s="6">
        <f t="shared" si="29"/>
        <v>0</v>
      </c>
      <c r="Y33" s="6">
        <f t="shared" si="5"/>
        <v>15812</v>
      </c>
      <c r="Z33" s="6">
        <f t="shared" si="6"/>
        <v>1317</v>
      </c>
      <c r="AA33" s="6">
        <f t="shared" si="7"/>
        <v>911</v>
      </c>
      <c r="AB33" s="4">
        <f t="shared" si="8"/>
        <v>18040</v>
      </c>
      <c r="AC33" s="4">
        <f t="shared" si="20"/>
        <v>136</v>
      </c>
      <c r="AD33" s="24">
        <f>ROUND(AB33-V33-Z33,0)*12%</f>
        <v>2006.76</v>
      </c>
      <c r="AE33" s="4">
        <v>0</v>
      </c>
      <c r="AF33" s="4">
        <f t="shared" si="9"/>
        <v>15897</v>
      </c>
      <c r="AG33" s="48">
        <f t="shared" si="10"/>
        <v>587</v>
      </c>
      <c r="AH33" s="24">
        <f t="shared" si="31"/>
        <v>2174</v>
      </c>
      <c r="AI33" s="6">
        <v>0</v>
      </c>
      <c r="AJ33" s="4">
        <f t="shared" si="11"/>
        <v>158</v>
      </c>
      <c r="AK33" s="6">
        <v>0</v>
      </c>
      <c r="AL33" s="6">
        <v>0</v>
      </c>
      <c r="AM33" s="24">
        <f t="shared" si="12"/>
        <v>2919</v>
      </c>
      <c r="AN33" s="24">
        <f t="shared" si="13"/>
        <v>20959</v>
      </c>
      <c r="AO33" s="24">
        <f t="shared" si="14"/>
        <v>610</v>
      </c>
      <c r="AP33" s="24">
        <f t="shared" si="15"/>
        <v>21569</v>
      </c>
      <c r="AQ33" s="24">
        <f t="shared" si="16"/>
        <v>3882</v>
      </c>
      <c r="AR33" s="25">
        <f t="shared" si="17"/>
        <v>25451</v>
      </c>
      <c r="AS33" s="25">
        <f t="shared" si="23"/>
        <v>16723</v>
      </c>
      <c r="AT33" s="25">
        <f t="shared" si="24"/>
        <v>18040</v>
      </c>
      <c r="AW33" s="39"/>
    </row>
    <row r="34" spans="1:49" x14ac:dyDescent="0.2">
      <c r="A34" s="6">
        <f t="shared" si="18"/>
        <v>29</v>
      </c>
      <c r="B34" s="7">
        <v>3562029977</v>
      </c>
      <c r="C34" s="6">
        <v>6597</v>
      </c>
      <c r="D34" s="4" t="s">
        <v>238</v>
      </c>
      <c r="E34" s="4" t="s">
        <v>200</v>
      </c>
      <c r="F34" s="5">
        <v>43664</v>
      </c>
      <c r="G34" s="5" t="s">
        <v>235</v>
      </c>
      <c r="H34" s="5" t="s">
        <v>174</v>
      </c>
      <c r="I34" s="6" t="s">
        <v>239</v>
      </c>
      <c r="J34" s="6" t="s">
        <v>240</v>
      </c>
      <c r="K34" s="6">
        <v>26</v>
      </c>
      <c r="L34" s="6">
        <v>23</v>
      </c>
      <c r="M34" s="6">
        <v>0</v>
      </c>
      <c r="N34" s="6">
        <v>0</v>
      </c>
      <c r="O34" s="6">
        <f t="shared" si="19"/>
        <v>23</v>
      </c>
      <c r="P34" s="21">
        <v>17494</v>
      </c>
      <c r="Q34" s="21">
        <v>0</v>
      </c>
      <c r="R34" s="6">
        <v>0</v>
      </c>
      <c r="S34" s="6">
        <v>0</v>
      </c>
      <c r="T34" s="6">
        <f t="shared" si="32"/>
        <v>17494</v>
      </c>
      <c r="U34" s="6">
        <f t="shared" si="26"/>
        <v>15475</v>
      </c>
      <c r="V34" s="6">
        <f t="shared" si="27"/>
        <v>0</v>
      </c>
      <c r="W34" s="6">
        <f t="shared" si="28"/>
        <v>0</v>
      </c>
      <c r="X34" s="6">
        <f t="shared" si="29"/>
        <v>0</v>
      </c>
      <c r="Y34" s="6">
        <f t="shared" si="5"/>
        <v>15475</v>
      </c>
      <c r="Z34" s="6">
        <f t="shared" si="6"/>
        <v>1289</v>
      </c>
      <c r="AA34" s="6">
        <f t="shared" si="7"/>
        <v>891</v>
      </c>
      <c r="AB34" s="4">
        <f t="shared" si="8"/>
        <v>17655</v>
      </c>
      <c r="AC34" s="4">
        <f t="shared" si="20"/>
        <v>133</v>
      </c>
      <c r="AD34" s="24">
        <f>ROUND(AB34-V34-Z34,0)*12%</f>
        <v>1963.9199999999998</v>
      </c>
      <c r="AE34" s="4">
        <v>0</v>
      </c>
      <c r="AF34" s="4">
        <f t="shared" si="9"/>
        <v>15558</v>
      </c>
      <c r="AG34" s="48">
        <f t="shared" si="10"/>
        <v>574</v>
      </c>
      <c r="AH34" s="24">
        <f t="shared" si="31"/>
        <v>2128</v>
      </c>
      <c r="AI34" s="6">
        <v>0</v>
      </c>
      <c r="AJ34" s="4">
        <f t="shared" si="11"/>
        <v>155</v>
      </c>
      <c r="AK34" s="6">
        <v>0</v>
      </c>
      <c r="AL34" s="6">
        <v>0</v>
      </c>
      <c r="AM34" s="24">
        <f t="shared" si="12"/>
        <v>2857</v>
      </c>
      <c r="AN34" s="24">
        <f t="shared" si="13"/>
        <v>20512</v>
      </c>
      <c r="AO34" s="24">
        <f t="shared" si="14"/>
        <v>597</v>
      </c>
      <c r="AP34" s="24">
        <f t="shared" si="15"/>
        <v>21109</v>
      </c>
      <c r="AQ34" s="24">
        <f t="shared" si="16"/>
        <v>3800</v>
      </c>
      <c r="AR34" s="25">
        <f t="shared" si="17"/>
        <v>24909</v>
      </c>
      <c r="AS34" s="25">
        <f t="shared" si="23"/>
        <v>16366</v>
      </c>
      <c r="AT34" s="25">
        <f t="shared" si="24"/>
        <v>17655</v>
      </c>
      <c r="AW34" s="39"/>
    </row>
    <row r="35" spans="1:49" x14ac:dyDescent="0.2">
      <c r="A35" s="6">
        <f t="shared" si="18"/>
        <v>30</v>
      </c>
      <c r="B35" s="7">
        <v>3562081808</v>
      </c>
      <c r="C35" s="6"/>
      <c r="D35" s="4" t="s">
        <v>241</v>
      </c>
      <c r="E35" s="4" t="s">
        <v>246</v>
      </c>
      <c r="F35" s="5" t="s">
        <v>242</v>
      </c>
      <c r="G35" s="5" t="s">
        <v>235</v>
      </c>
      <c r="H35" s="5" t="s">
        <v>174</v>
      </c>
      <c r="I35" s="6" t="s">
        <v>247</v>
      </c>
      <c r="J35" s="6" t="s">
        <v>248</v>
      </c>
      <c r="K35" s="6">
        <v>26</v>
      </c>
      <c r="L35" s="6">
        <v>26</v>
      </c>
      <c r="M35" s="6">
        <v>0</v>
      </c>
      <c r="N35" s="6">
        <v>0</v>
      </c>
      <c r="O35" s="6">
        <f t="shared" si="19"/>
        <v>26</v>
      </c>
      <c r="P35" s="21">
        <v>17494</v>
      </c>
      <c r="Q35" s="21">
        <v>0</v>
      </c>
      <c r="R35" s="6">
        <v>0</v>
      </c>
      <c r="S35" s="6">
        <v>0</v>
      </c>
      <c r="T35" s="6">
        <f t="shared" si="32"/>
        <v>17494</v>
      </c>
      <c r="U35" s="6">
        <f t="shared" si="26"/>
        <v>17494</v>
      </c>
      <c r="V35" s="6">
        <f t="shared" si="27"/>
        <v>0</v>
      </c>
      <c r="W35" s="6">
        <f t="shared" si="28"/>
        <v>0</v>
      </c>
      <c r="X35" s="6">
        <f t="shared" si="29"/>
        <v>0</v>
      </c>
      <c r="Y35" s="6">
        <f t="shared" si="5"/>
        <v>17494</v>
      </c>
      <c r="Z35" s="6">
        <f t="shared" si="6"/>
        <v>1457</v>
      </c>
      <c r="AA35" s="6">
        <f t="shared" si="7"/>
        <v>1008</v>
      </c>
      <c r="AB35" s="4">
        <f t="shared" si="8"/>
        <v>19959</v>
      </c>
      <c r="AC35" s="4">
        <f t="shared" si="20"/>
        <v>150</v>
      </c>
      <c r="AD35" s="24">
        <f>ROUND(IF((AB35-V35)*12%&gt;1800,1800,(AB35-V35)*12%),0)</f>
        <v>1800</v>
      </c>
      <c r="AE35" s="4">
        <v>0</v>
      </c>
      <c r="AF35" s="4">
        <f t="shared" si="9"/>
        <v>18009</v>
      </c>
      <c r="AG35" s="48">
        <f t="shared" si="10"/>
        <v>649</v>
      </c>
      <c r="AH35" s="24">
        <f>ROUND(IF(($AB35-Z35)*12%&gt;1950,1950,(AB35-Z35)*13%),0)</f>
        <v>1950</v>
      </c>
      <c r="AI35" s="6">
        <v>0</v>
      </c>
      <c r="AJ35" s="4">
        <f t="shared" si="11"/>
        <v>175</v>
      </c>
      <c r="AK35" s="6">
        <v>0</v>
      </c>
      <c r="AL35" s="6">
        <v>0</v>
      </c>
      <c r="AM35" s="24">
        <f t="shared" si="12"/>
        <v>2774</v>
      </c>
      <c r="AN35" s="24">
        <f t="shared" si="13"/>
        <v>22733</v>
      </c>
      <c r="AO35" s="24">
        <f t="shared" si="14"/>
        <v>675</v>
      </c>
      <c r="AP35" s="24">
        <f t="shared" si="15"/>
        <v>23408</v>
      </c>
      <c r="AQ35" s="24">
        <f t="shared" si="16"/>
        <v>4213</v>
      </c>
      <c r="AR35" s="25">
        <f t="shared" si="17"/>
        <v>27621</v>
      </c>
      <c r="AS35" s="25">
        <v>15000</v>
      </c>
      <c r="AT35" s="25">
        <f t="shared" si="24"/>
        <v>19959</v>
      </c>
      <c r="AW35" s="39"/>
    </row>
    <row r="36" spans="1:49" x14ac:dyDescent="0.2">
      <c r="A36" s="6">
        <f t="shared" si="18"/>
        <v>31</v>
      </c>
      <c r="B36" s="7">
        <v>3562083587</v>
      </c>
      <c r="C36" s="4"/>
      <c r="D36" s="60" t="s">
        <v>244</v>
      </c>
      <c r="E36" s="62" t="s">
        <v>250</v>
      </c>
      <c r="F36" s="5" t="s">
        <v>245</v>
      </c>
      <c r="G36" s="61" t="s">
        <v>243</v>
      </c>
      <c r="H36" s="5" t="s">
        <v>181</v>
      </c>
      <c r="I36" s="63" t="s">
        <v>249</v>
      </c>
      <c r="J36" s="64">
        <v>6933291906</v>
      </c>
      <c r="K36" s="6">
        <v>26</v>
      </c>
      <c r="L36" s="6">
        <v>12</v>
      </c>
      <c r="M36" s="6">
        <v>0</v>
      </c>
      <c r="N36" s="6">
        <v>0</v>
      </c>
      <c r="O36" s="6">
        <f t="shared" si="19"/>
        <v>12</v>
      </c>
      <c r="P36" s="21">
        <v>19279</v>
      </c>
      <c r="Q36" s="21">
        <v>0</v>
      </c>
      <c r="R36" s="21">
        <v>0</v>
      </c>
      <c r="S36" s="6">
        <v>0</v>
      </c>
      <c r="T36" s="6">
        <f t="shared" si="32"/>
        <v>19279</v>
      </c>
      <c r="U36" s="6">
        <f t="shared" si="26"/>
        <v>8898</v>
      </c>
      <c r="V36" s="6">
        <f t="shared" si="27"/>
        <v>0</v>
      </c>
      <c r="W36" s="6">
        <f t="shared" si="28"/>
        <v>0</v>
      </c>
      <c r="X36" s="6">
        <f t="shared" si="29"/>
        <v>0</v>
      </c>
      <c r="Y36" s="6">
        <f t="shared" si="5"/>
        <v>8898</v>
      </c>
      <c r="Z36" s="6">
        <f t="shared" si="6"/>
        <v>741</v>
      </c>
      <c r="AA36" s="6">
        <f t="shared" si="7"/>
        <v>513</v>
      </c>
      <c r="AB36" s="4">
        <f t="shared" si="8"/>
        <v>10152</v>
      </c>
      <c r="AC36" s="4">
        <f t="shared" si="20"/>
        <v>77</v>
      </c>
      <c r="AD36" s="24">
        <f t="shared" ref="AD36" si="33">ROUND(AB36-V36-Z36,)*12%</f>
        <v>1129.32</v>
      </c>
      <c r="AE36" s="4">
        <v>0</v>
      </c>
      <c r="AF36" s="4">
        <f t="shared" si="9"/>
        <v>8946</v>
      </c>
      <c r="AG36" s="48">
        <f t="shared" si="10"/>
        <v>330</v>
      </c>
      <c r="AH36" s="24">
        <f>ROUND(IF(($AB36-Z36)*12%&gt;1950,1950,(AB36-Z36)*13%),0)</f>
        <v>1223</v>
      </c>
      <c r="AI36" s="6">
        <v>0</v>
      </c>
      <c r="AJ36" s="4">
        <f t="shared" si="11"/>
        <v>81</v>
      </c>
      <c r="AK36" s="6">
        <v>0</v>
      </c>
      <c r="AL36" s="6">
        <v>0</v>
      </c>
      <c r="AM36" s="24">
        <f t="shared" si="12"/>
        <v>1634</v>
      </c>
      <c r="AN36" s="24">
        <f t="shared" si="13"/>
        <v>11786</v>
      </c>
      <c r="AO36" s="24">
        <f t="shared" si="14"/>
        <v>312</v>
      </c>
      <c r="AP36" s="24">
        <f t="shared" si="15"/>
        <v>12098</v>
      </c>
      <c r="AQ36" s="24">
        <f t="shared" si="16"/>
        <v>2178</v>
      </c>
      <c r="AR36" s="25">
        <f t="shared" si="17"/>
        <v>14276</v>
      </c>
      <c r="AS36" s="25">
        <f t="shared" si="23"/>
        <v>9411</v>
      </c>
      <c r="AT36" s="25">
        <f t="shared" si="24"/>
        <v>10152</v>
      </c>
      <c r="AW36" s="39"/>
    </row>
    <row r="37" spans="1:49" x14ac:dyDescent="0.2">
      <c r="A37" s="6">
        <f t="shared" si="18"/>
        <v>32</v>
      </c>
      <c r="B37" s="69">
        <v>3562018486</v>
      </c>
      <c r="C37" s="4"/>
      <c r="D37" s="4" t="s">
        <v>253</v>
      </c>
      <c r="E37" s="4" t="s">
        <v>254</v>
      </c>
      <c r="F37" s="70">
        <v>43448</v>
      </c>
      <c r="G37" s="5" t="s">
        <v>66</v>
      </c>
      <c r="H37" s="64" t="s">
        <v>181</v>
      </c>
      <c r="I37" s="34" t="s">
        <v>255</v>
      </c>
      <c r="J37" s="6">
        <v>6928679496</v>
      </c>
      <c r="K37" s="6">
        <v>26</v>
      </c>
      <c r="L37" s="6">
        <v>25.5</v>
      </c>
      <c r="M37" s="6">
        <v>0</v>
      </c>
      <c r="N37" s="6">
        <v>0</v>
      </c>
      <c r="O37" s="6">
        <f t="shared" si="19"/>
        <v>25.5</v>
      </c>
      <c r="P37" s="21">
        <v>19279</v>
      </c>
      <c r="Q37" s="21">
        <v>0</v>
      </c>
      <c r="R37" s="6">
        <v>0</v>
      </c>
      <c r="S37" s="6">
        <v>0</v>
      </c>
      <c r="T37" s="6">
        <f t="shared" si="32"/>
        <v>19279</v>
      </c>
      <c r="U37" s="6">
        <f t="shared" si="26"/>
        <v>18908</v>
      </c>
      <c r="V37" s="6">
        <f t="shared" si="27"/>
        <v>0</v>
      </c>
      <c r="W37" s="6">
        <f t="shared" si="28"/>
        <v>0</v>
      </c>
      <c r="X37" s="6">
        <v>0</v>
      </c>
      <c r="Y37" s="6">
        <f t="shared" si="5"/>
        <v>18908</v>
      </c>
      <c r="Z37" s="6">
        <f t="shared" si="6"/>
        <v>1575</v>
      </c>
      <c r="AA37" s="6">
        <f t="shared" si="7"/>
        <v>1089</v>
      </c>
      <c r="AB37" s="4">
        <f t="shared" si="8"/>
        <v>21572</v>
      </c>
      <c r="AC37" s="4">
        <f t="shared" si="20"/>
        <v>162</v>
      </c>
      <c r="AD37" s="24">
        <f>ROUND(AB37-V37-Z37-X37,)*12%</f>
        <v>2399.64</v>
      </c>
      <c r="AE37" s="4">
        <v>0</v>
      </c>
      <c r="AF37" s="4">
        <f t="shared" si="9"/>
        <v>19010</v>
      </c>
      <c r="AG37" s="48">
        <f t="shared" si="10"/>
        <v>702</v>
      </c>
      <c r="AH37" s="24">
        <f t="shared" ref="AH37:AH38" si="34">ROUND((AB37-V37-Z37)*13%,0)</f>
        <v>2600</v>
      </c>
      <c r="AI37" s="6">
        <v>0</v>
      </c>
      <c r="AJ37" s="4">
        <f t="shared" si="11"/>
        <v>172</v>
      </c>
      <c r="AK37" s="6">
        <v>0</v>
      </c>
      <c r="AL37" s="6">
        <v>0</v>
      </c>
      <c r="AM37" s="24">
        <f t="shared" si="12"/>
        <v>3474</v>
      </c>
      <c r="AN37" s="24">
        <f t="shared" si="13"/>
        <v>25046</v>
      </c>
      <c r="AO37" s="24">
        <f t="shared" si="14"/>
        <v>662</v>
      </c>
      <c r="AP37" s="24">
        <f t="shared" si="15"/>
        <v>25708</v>
      </c>
      <c r="AQ37" s="24">
        <f t="shared" si="16"/>
        <v>4627</v>
      </c>
      <c r="AR37" s="25">
        <f t="shared" si="17"/>
        <v>30335</v>
      </c>
      <c r="AS37" s="25">
        <f t="shared" si="23"/>
        <v>19997</v>
      </c>
      <c r="AT37" s="25">
        <f t="shared" si="24"/>
        <v>21572</v>
      </c>
      <c r="AW37" s="39"/>
    </row>
    <row r="38" spans="1:49" x14ac:dyDescent="0.2">
      <c r="A38" s="6">
        <f t="shared" si="18"/>
        <v>33</v>
      </c>
      <c r="B38" s="69">
        <v>3562043319</v>
      </c>
      <c r="C38" s="4"/>
      <c r="D38" s="4" t="s">
        <v>257</v>
      </c>
      <c r="E38" s="4" t="s">
        <v>258</v>
      </c>
      <c r="F38" s="70" t="s">
        <v>126</v>
      </c>
      <c r="G38" s="5" t="s">
        <v>66</v>
      </c>
      <c r="H38" s="5" t="s">
        <v>181</v>
      </c>
      <c r="I38" s="34" t="s">
        <v>259</v>
      </c>
      <c r="J38" s="34" t="s">
        <v>260</v>
      </c>
      <c r="K38" s="6">
        <v>26</v>
      </c>
      <c r="L38" s="6">
        <v>13</v>
      </c>
      <c r="M38" s="6">
        <v>0</v>
      </c>
      <c r="N38" s="6">
        <v>0</v>
      </c>
      <c r="O38" s="6">
        <f t="shared" si="19"/>
        <v>13</v>
      </c>
      <c r="P38" s="21">
        <v>19279</v>
      </c>
      <c r="Q38" s="21">
        <v>212</v>
      </c>
      <c r="R38" s="21">
        <v>0</v>
      </c>
      <c r="S38" s="6">
        <v>0</v>
      </c>
      <c r="T38" s="6">
        <f>ROUND(SUM(P38:S38),0)</f>
        <v>19491</v>
      </c>
      <c r="U38" s="6">
        <f t="shared" si="26"/>
        <v>9640</v>
      </c>
      <c r="V38" s="6">
        <f t="shared" si="26"/>
        <v>106</v>
      </c>
      <c r="W38" s="6">
        <f t="shared" si="26"/>
        <v>0</v>
      </c>
      <c r="X38" s="6">
        <v>0</v>
      </c>
      <c r="Y38" s="6">
        <f>ROUND(SUM(U38:X38),0)</f>
        <v>9746</v>
      </c>
      <c r="Z38" s="6">
        <f>ROUNDUP(U38*8.33/100,0)</f>
        <v>804</v>
      </c>
      <c r="AA38" s="6">
        <f t="shared" si="7"/>
        <v>561</v>
      </c>
      <c r="AB38" s="4">
        <f>Y38+AA38+Z38</f>
        <v>11111</v>
      </c>
      <c r="AC38" s="4">
        <f>ROUNDUP(IF(T38&gt;21000,0,AB38*0.75%),0)</f>
        <v>84</v>
      </c>
      <c r="AD38" s="24">
        <f>ROUND(AB38-V38-Z38-X38,)*12%</f>
        <v>1224.1199999999999</v>
      </c>
      <c r="AE38" s="4">
        <v>0</v>
      </c>
      <c r="AF38" s="4">
        <f t="shared" si="9"/>
        <v>9803</v>
      </c>
      <c r="AG38" s="48">
        <f>ROUNDUP(IF((T38)&gt;21000,0,AB38*3.25%),0)</f>
        <v>362</v>
      </c>
      <c r="AH38" s="24">
        <f t="shared" si="34"/>
        <v>1326</v>
      </c>
      <c r="AI38" s="6">
        <v>0</v>
      </c>
      <c r="AJ38" s="4">
        <f>ROUND(175/K38*O38,0)</f>
        <v>88</v>
      </c>
      <c r="AK38" s="6">
        <v>0</v>
      </c>
      <c r="AL38" s="6">
        <v>0</v>
      </c>
      <c r="AM38" s="24">
        <f>SUM(AG38:AL38)</f>
        <v>1776</v>
      </c>
      <c r="AN38" s="24">
        <f t="shared" si="13"/>
        <v>12887</v>
      </c>
      <c r="AO38" s="24">
        <f>ROUND(675/K38*O38,0)</f>
        <v>338</v>
      </c>
      <c r="AP38" s="24">
        <f t="shared" si="15"/>
        <v>13225</v>
      </c>
      <c r="AQ38" s="24">
        <f t="shared" si="16"/>
        <v>2381</v>
      </c>
      <c r="AR38" s="25">
        <f t="shared" si="17"/>
        <v>15606</v>
      </c>
      <c r="AS38" s="25">
        <f t="shared" si="23"/>
        <v>10201</v>
      </c>
      <c r="AT38" s="25">
        <f t="shared" si="24"/>
        <v>11111</v>
      </c>
      <c r="AW38" s="39"/>
    </row>
    <row r="40" spans="1:49" x14ac:dyDescent="0.2">
      <c r="L40" s="17">
        <f t="shared" ref="L40:AR40" si="35">SUM(L6:L39)</f>
        <v>770</v>
      </c>
      <c r="M40" s="17">
        <f t="shared" si="35"/>
        <v>0</v>
      </c>
      <c r="N40" s="17">
        <f t="shared" si="35"/>
        <v>2</v>
      </c>
      <c r="O40" s="17">
        <f t="shared" si="35"/>
        <v>772</v>
      </c>
      <c r="P40" s="17">
        <f t="shared" si="35"/>
        <v>611217</v>
      </c>
      <c r="Q40" s="17">
        <f t="shared" si="35"/>
        <v>20651</v>
      </c>
      <c r="R40" s="17">
        <f t="shared" si="35"/>
        <v>0</v>
      </c>
      <c r="S40" s="17">
        <f t="shared" si="35"/>
        <v>0</v>
      </c>
      <c r="T40" s="17">
        <f t="shared" si="35"/>
        <v>629184</v>
      </c>
      <c r="U40" s="17">
        <f t="shared" si="35"/>
        <v>549542</v>
      </c>
      <c r="V40" s="17">
        <f t="shared" si="35"/>
        <v>19282</v>
      </c>
      <c r="W40" s="17">
        <f t="shared" si="35"/>
        <v>0</v>
      </c>
      <c r="X40" s="17">
        <f t="shared" si="35"/>
        <v>0</v>
      </c>
      <c r="Y40" s="17">
        <f t="shared" si="35"/>
        <v>568824</v>
      </c>
      <c r="Z40" s="17">
        <f t="shared" si="35"/>
        <v>45776</v>
      </c>
      <c r="AA40" s="17">
        <f t="shared" si="35"/>
        <v>32764</v>
      </c>
      <c r="AB40" s="17">
        <f t="shared" si="35"/>
        <v>647364</v>
      </c>
      <c r="AC40" s="17">
        <f t="shared" si="35"/>
        <v>4262</v>
      </c>
      <c r="AD40" s="44">
        <f t="shared" si="35"/>
        <v>67913.75999999998</v>
      </c>
      <c r="AE40" s="17">
        <f t="shared" si="35"/>
        <v>0</v>
      </c>
      <c r="AF40" s="17">
        <f t="shared" si="35"/>
        <v>575185</v>
      </c>
      <c r="AG40" s="17">
        <f t="shared" si="35"/>
        <v>18432</v>
      </c>
      <c r="AH40" s="44">
        <f t="shared" si="35"/>
        <v>73576</v>
      </c>
      <c r="AI40" s="17">
        <f t="shared" si="35"/>
        <v>0</v>
      </c>
      <c r="AJ40" s="17">
        <f t="shared" si="35"/>
        <v>5196</v>
      </c>
      <c r="AK40" s="17">
        <f t="shared" si="35"/>
        <v>0</v>
      </c>
      <c r="AL40" s="17">
        <f t="shared" si="35"/>
        <v>1700</v>
      </c>
      <c r="AM40" s="17">
        <f t="shared" si="35"/>
        <v>98904</v>
      </c>
      <c r="AN40" s="44">
        <f>SUM(AN6:AN39)</f>
        <v>746268</v>
      </c>
      <c r="AO40" s="17">
        <f t="shared" si="35"/>
        <v>20042</v>
      </c>
      <c r="AP40" s="17">
        <f t="shared" si="35"/>
        <v>766310</v>
      </c>
      <c r="AQ40" s="17">
        <f t="shared" si="35"/>
        <v>137935</v>
      </c>
      <c r="AR40" s="17">
        <f t="shared" si="35"/>
        <v>904245</v>
      </c>
    </row>
    <row r="41" spans="1:49" x14ac:dyDescent="0.2">
      <c r="O41" s="16">
        <v>772</v>
      </c>
      <c r="U41">
        <v>549545</v>
      </c>
      <c r="V41" s="15">
        <v>19281</v>
      </c>
      <c r="Z41" s="15">
        <v>45776</v>
      </c>
      <c r="AA41" s="74">
        <v>32766</v>
      </c>
      <c r="AB41" s="15">
        <v>647368</v>
      </c>
      <c r="AG41" s="15">
        <v>18432</v>
      </c>
      <c r="AH41" s="71">
        <v>73577</v>
      </c>
      <c r="AJ41" s="15">
        <v>5198</v>
      </c>
      <c r="AL41" s="15">
        <v>1700</v>
      </c>
      <c r="AM41" s="15">
        <v>98902</v>
      </c>
      <c r="AN41" s="15">
        <v>746270</v>
      </c>
    </row>
    <row r="42" spans="1:49" x14ac:dyDescent="0.2">
      <c r="O42" s="16">
        <f>+O40-O41</f>
        <v>0</v>
      </c>
      <c r="U42" s="15">
        <f>+U40-U41</f>
        <v>-3</v>
      </c>
      <c r="V42" s="15">
        <f>+V40-V41</f>
        <v>1</v>
      </c>
      <c r="Z42" s="15">
        <f>+Z40-Z41</f>
        <v>0</v>
      </c>
      <c r="AA42" s="15">
        <f>+AA40-AA41</f>
        <v>-2</v>
      </c>
      <c r="AB42" s="15">
        <f>+AB40-AB41</f>
        <v>-4</v>
      </c>
      <c r="AC42" s="39"/>
      <c r="AD42" s="39"/>
      <c r="AG42" s="15">
        <f>+AG40-AG41</f>
        <v>0</v>
      </c>
      <c r="AH42" s="15">
        <f>+AH40-AH41</f>
        <v>-1</v>
      </c>
      <c r="AJ42" s="15">
        <f>+AJ40-AJ41</f>
        <v>-2</v>
      </c>
      <c r="AL42" s="15">
        <f>+AL40-AL41</f>
        <v>0</v>
      </c>
      <c r="AM42" s="15">
        <f>+AM40-AM41</f>
        <v>2</v>
      </c>
      <c r="AN42" s="15">
        <f>+AN40-AN41</f>
        <v>-2</v>
      </c>
      <c r="AO42" s="15">
        <f>+AO40-AO41</f>
        <v>20042</v>
      </c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11">
    <cfRule type="duplicateValues" dxfId="55" priority="38"/>
  </conditionalFormatting>
  <conditionalFormatting sqref="B12">
    <cfRule type="duplicateValues" dxfId="54" priority="37"/>
  </conditionalFormatting>
  <conditionalFormatting sqref="B13">
    <cfRule type="duplicateValues" dxfId="53" priority="33"/>
  </conditionalFormatting>
  <conditionalFormatting sqref="B14:B15">
    <cfRule type="duplicateValues" dxfId="52" priority="32"/>
  </conditionalFormatting>
  <conditionalFormatting sqref="D13:D15">
    <cfRule type="duplicateValues" dxfId="51" priority="31"/>
  </conditionalFormatting>
  <conditionalFormatting sqref="I23">
    <cfRule type="duplicateValues" dxfId="50" priority="30"/>
  </conditionalFormatting>
  <conditionalFormatting sqref="B35">
    <cfRule type="duplicateValues" dxfId="49" priority="76"/>
  </conditionalFormatting>
  <conditionalFormatting sqref="D35">
    <cfRule type="duplicateValues" dxfId="48" priority="77"/>
  </conditionalFormatting>
  <conditionalFormatting sqref="I35:J35">
    <cfRule type="duplicateValues" dxfId="47" priority="84"/>
  </conditionalFormatting>
  <conditionalFormatting sqref="B18:B38">
    <cfRule type="duplicateValues" dxfId="46" priority="96"/>
  </conditionalFormatting>
  <conditionalFormatting sqref="B19:B38">
    <cfRule type="duplicateValues" dxfId="45" priority="99"/>
  </conditionalFormatting>
  <conditionalFormatting sqref="B13:B38">
    <cfRule type="duplicateValues" dxfId="44" priority="102"/>
  </conditionalFormatting>
  <conditionalFormatting sqref="B37:B38">
    <cfRule type="duplicateValues" dxfId="43" priority="116"/>
  </conditionalFormatting>
  <conditionalFormatting sqref="B37:B38">
    <cfRule type="duplicateValues" dxfId="42" priority="118"/>
  </conditionalFormatting>
  <conditionalFormatting sqref="I20:I34">
    <cfRule type="duplicateValues" dxfId="41" priority="127"/>
  </conditionalFormatting>
  <conditionalFormatting sqref="J20:J34">
    <cfRule type="duplicateValues" dxfId="40" priority="128"/>
  </conditionalFormatting>
  <conditionalFormatting sqref="D18:D35">
    <cfRule type="duplicateValues" dxfId="39" priority="536"/>
  </conditionalFormatting>
  <conditionalFormatting sqref="D17:D35">
    <cfRule type="duplicateValues" dxfId="38" priority="537"/>
  </conditionalFormatting>
  <conditionalFormatting sqref="D36">
    <cfRule type="duplicateValues" dxfId="37" priority="567"/>
  </conditionalFormatting>
  <printOptions horizontalCentered="1"/>
  <pageMargins left="0" right="0" top="0.5" bottom="0.5" header="0.3" footer="0.3"/>
  <pageSetup paperSize="9" scale="3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41"/>
  <sheetViews>
    <sheetView tabSelected="1" workbookViewId="0">
      <pane xSplit="4" ySplit="5" topLeftCell="E6" activePane="bottomRight" state="frozen"/>
      <selection activeCell="B42" sqref="B42:J42"/>
      <selection pane="topRight" activeCell="B42" sqref="B42:J42"/>
      <selection pane="bottomLeft" activeCell="B42" sqref="B42:J42"/>
      <selection pane="bottomRight" activeCell="O41" sqref="O41"/>
    </sheetView>
  </sheetViews>
  <sheetFormatPr defaultColWidth="9.140625" defaultRowHeight="12.75" x14ac:dyDescent="0.2"/>
  <cols>
    <col min="1" max="1" width="9.42578125" customWidth="1"/>
    <col min="2" max="2" width="14.85546875" style="16" customWidth="1"/>
    <col min="3" max="3" width="12.28515625" hidden="1" customWidth="1"/>
    <col min="4" max="4" width="18.85546875" customWidth="1"/>
    <col min="5" max="5" width="24.85546875" customWidth="1"/>
    <col min="6" max="6" width="10.42578125" customWidth="1"/>
    <col min="7" max="7" width="11.7109375" customWidth="1"/>
    <col min="8" max="8" width="12.7109375" hidden="1" customWidth="1"/>
    <col min="9" max="9" width="8.5703125" customWidth="1"/>
    <col min="10" max="10" width="7" customWidth="1"/>
    <col min="11" max="11" width="8.5703125" bestFit="1" customWidth="1"/>
    <col min="12" max="12" width="8.5703125" style="16" customWidth="1"/>
    <col min="13" max="13" width="9.28515625" customWidth="1"/>
    <col min="14" max="14" width="8.42578125" customWidth="1"/>
    <col min="15" max="15" width="10.85546875" customWidth="1"/>
    <col min="16" max="16" width="9.140625" style="16" customWidth="1"/>
    <col min="17" max="17" width="8.42578125" customWidth="1"/>
    <col min="18" max="18" width="8" customWidth="1"/>
    <col min="19" max="19" width="8.28515625" customWidth="1"/>
    <col min="20" max="20" width="8.42578125" customWidth="1"/>
    <col min="21" max="21" width="7.140625" customWidth="1"/>
    <col min="22" max="22" width="8.85546875" customWidth="1"/>
  </cols>
  <sheetData>
    <row r="1" spans="1:24" x14ac:dyDescent="0.2">
      <c r="A1" s="22" t="s">
        <v>0</v>
      </c>
      <c r="B1" s="22" t="s">
        <v>1</v>
      </c>
      <c r="C1" s="4"/>
      <c r="D1" s="4"/>
      <c r="E1" s="4"/>
      <c r="F1" s="4"/>
      <c r="G1" s="66" t="s">
        <v>2</v>
      </c>
      <c r="H1" s="6">
        <v>0</v>
      </c>
      <c r="I1" s="3"/>
      <c r="J1" s="3"/>
      <c r="K1" s="3"/>
      <c r="L1" s="30"/>
      <c r="M1" s="3"/>
      <c r="N1" s="3"/>
      <c r="O1" s="3"/>
      <c r="P1" s="30"/>
      <c r="Q1" s="3"/>
      <c r="R1" s="3"/>
      <c r="S1" s="3"/>
      <c r="T1" s="3"/>
      <c r="U1" s="3"/>
      <c r="V1" s="3"/>
    </row>
    <row r="2" spans="1:24" x14ac:dyDescent="0.2">
      <c r="A2" s="67" t="s">
        <v>3</v>
      </c>
      <c r="B2" s="68">
        <v>45200</v>
      </c>
      <c r="C2" s="4"/>
      <c r="D2" s="4"/>
      <c r="E2" s="4"/>
      <c r="F2" s="4"/>
      <c r="G2" s="66" t="s">
        <v>4</v>
      </c>
      <c r="H2" s="6">
        <v>8</v>
      </c>
      <c r="I2" s="3">
        <v>33</v>
      </c>
      <c r="J2" s="3"/>
      <c r="K2" s="3"/>
      <c r="L2" s="30"/>
      <c r="M2" s="3"/>
      <c r="N2" s="3"/>
      <c r="O2" s="3"/>
      <c r="P2" s="30"/>
      <c r="Q2" s="3"/>
      <c r="R2" s="3"/>
      <c r="S2" s="3"/>
      <c r="T2" s="3"/>
      <c r="U2" s="3"/>
      <c r="V2" s="3"/>
    </row>
    <row r="3" spans="1:24" x14ac:dyDescent="0.2">
      <c r="A3" s="67" t="s">
        <v>5</v>
      </c>
      <c r="B3" s="6" t="s">
        <v>6</v>
      </c>
      <c r="C3" s="4"/>
      <c r="D3" s="4"/>
      <c r="E3" s="4"/>
      <c r="F3" s="4"/>
      <c r="G3" s="66" t="s">
        <v>7</v>
      </c>
      <c r="H3" s="4" t="s">
        <v>86</v>
      </c>
      <c r="I3" s="3"/>
      <c r="J3" s="3"/>
      <c r="K3" s="3"/>
      <c r="L3" s="30"/>
      <c r="M3" s="3"/>
      <c r="N3" s="3"/>
      <c r="O3" s="3"/>
      <c r="P3" s="30"/>
      <c r="Q3" s="3"/>
      <c r="R3" s="3"/>
      <c r="S3" s="3"/>
      <c r="T3" s="3"/>
      <c r="U3" s="3"/>
      <c r="V3" s="3"/>
    </row>
    <row r="4" spans="1:24" x14ac:dyDescent="0.2">
      <c r="A4" s="85" t="s">
        <v>9</v>
      </c>
      <c r="B4" s="85"/>
      <c r="C4" s="85"/>
      <c r="D4" s="85"/>
      <c r="E4" s="85"/>
      <c r="F4" s="85"/>
      <c r="G4" s="85"/>
      <c r="H4" s="85"/>
      <c r="I4" s="86" t="s">
        <v>87</v>
      </c>
      <c r="J4" s="86"/>
      <c r="K4" s="86"/>
      <c r="L4" s="86"/>
      <c r="M4" s="87" t="s">
        <v>11</v>
      </c>
      <c r="N4" s="87"/>
      <c r="O4" s="28" t="s">
        <v>12</v>
      </c>
      <c r="P4" s="29" t="s">
        <v>13</v>
      </c>
      <c r="Q4" s="3"/>
      <c r="R4" s="88" t="s">
        <v>15</v>
      </c>
      <c r="S4" s="88"/>
      <c r="T4" s="88"/>
      <c r="U4" s="89" t="s">
        <v>16</v>
      </c>
      <c r="V4" s="89"/>
    </row>
    <row r="5" spans="1:24" s="26" customFormat="1" ht="89.25" x14ac:dyDescent="0.2">
      <c r="A5" s="27" t="s">
        <v>17</v>
      </c>
      <c r="B5" s="27" t="s">
        <v>18</v>
      </c>
      <c r="C5" s="27" t="s">
        <v>19</v>
      </c>
      <c r="D5" s="27" t="s">
        <v>20</v>
      </c>
      <c r="E5" s="27" t="s">
        <v>21</v>
      </c>
      <c r="F5" s="27" t="s">
        <v>22</v>
      </c>
      <c r="G5" s="27" t="s">
        <v>23</v>
      </c>
      <c r="H5" s="27" t="s">
        <v>26</v>
      </c>
      <c r="I5" s="27" t="s">
        <v>27</v>
      </c>
      <c r="J5" s="27" t="s">
        <v>88</v>
      </c>
      <c r="K5" s="27" t="s">
        <v>89</v>
      </c>
      <c r="L5" s="27" t="s">
        <v>90</v>
      </c>
      <c r="M5" s="27" t="s">
        <v>32</v>
      </c>
      <c r="N5" s="27" t="s">
        <v>91</v>
      </c>
      <c r="O5" s="27" t="s">
        <v>92</v>
      </c>
      <c r="P5" s="27" t="s">
        <v>45</v>
      </c>
      <c r="Q5" s="27" t="s">
        <v>93</v>
      </c>
      <c r="R5" s="27" t="s">
        <v>49</v>
      </c>
      <c r="S5" s="27" t="s">
        <v>54</v>
      </c>
      <c r="T5" s="27" t="s">
        <v>94</v>
      </c>
      <c r="U5" s="27" t="s">
        <v>58</v>
      </c>
      <c r="V5" s="27" t="s">
        <v>59</v>
      </c>
    </row>
    <row r="6" spans="1:24" x14ac:dyDescent="0.2">
      <c r="A6" s="6">
        <v>1</v>
      </c>
      <c r="B6" s="7">
        <v>3562017972</v>
      </c>
      <c r="C6" s="4">
        <v>5018</v>
      </c>
      <c r="D6" s="4" t="s">
        <v>68</v>
      </c>
      <c r="E6" s="4" t="s">
        <v>69</v>
      </c>
      <c r="F6" s="5">
        <v>43431</v>
      </c>
      <c r="G6" s="5" t="s">
        <v>70</v>
      </c>
      <c r="H6" s="6"/>
      <c r="I6" s="30">
        <v>26</v>
      </c>
      <c r="J6" s="30">
        <v>0</v>
      </c>
      <c r="K6" s="30">
        <v>0</v>
      </c>
      <c r="L6" s="30">
        <f>+J6+K6</f>
        <v>0</v>
      </c>
      <c r="M6" s="21">
        <v>17494</v>
      </c>
      <c r="N6" s="31">
        <f>ROUND((M6/26/8)*2,0)</f>
        <v>168</v>
      </c>
      <c r="O6" s="31">
        <f>ROUND(N6*L6,0)</f>
        <v>0</v>
      </c>
      <c r="P6" s="31">
        <f>O6*0.75/100</f>
        <v>0</v>
      </c>
      <c r="Q6" s="32">
        <f t="shared" ref="Q6" si="0">ROUND(O6-P6,0)</f>
        <v>0</v>
      </c>
      <c r="R6" s="10">
        <f>ROUNDUP(O6*3.25/100,1)</f>
        <v>0</v>
      </c>
      <c r="S6" s="10">
        <f t="shared" ref="S6" si="1">SUM(R6:R6)</f>
        <v>0</v>
      </c>
      <c r="T6" s="10">
        <f>S6+O6</f>
        <v>0</v>
      </c>
      <c r="U6" s="10">
        <f t="shared" ref="U6" si="2">ROUND(T6*18%,0)</f>
        <v>0</v>
      </c>
      <c r="V6" s="32">
        <f t="shared" ref="V6" si="3">T6+U6</f>
        <v>0</v>
      </c>
      <c r="X6" s="76"/>
    </row>
    <row r="7" spans="1:24" x14ac:dyDescent="0.2">
      <c r="A7" s="6">
        <v>2</v>
      </c>
      <c r="B7" s="7">
        <v>3562041683</v>
      </c>
      <c r="C7" s="6"/>
      <c r="D7" s="4" t="s">
        <v>119</v>
      </c>
      <c r="E7" s="4" t="s">
        <v>121</v>
      </c>
      <c r="F7" s="5" t="s">
        <v>120</v>
      </c>
      <c r="G7" s="5" t="s">
        <v>66</v>
      </c>
      <c r="H7" s="6"/>
      <c r="I7" s="30">
        <v>26</v>
      </c>
      <c r="J7" s="30">
        <v>0</v>
      </c>
      <c r="K7" s="30">
        <v>0</v>
      </c>
      <c r="L7" s="30">
        <f t="shared" ref="L7:L38" si="4">+J7+K7</f>
        <v>0</v>
      </c>
      <c r="M7" s="21">
        <v>19279</v>
      </c>
      <c r="N7" s="31">
        <f t="shared" ref="N7:N38" si="5">ROUND((M7/26/8)*2,0)</f>
        <v>185</v>
      </c>
      <c r="O7" s="31">
        <f t="shared" ref="O7:O38" si="6">ROUND(N7*L7,0)</f>
        <v>0</v>
      </c>
      <c r="P7" s="31">
        <f t="shared" ref="P7:P35" si="7">O7*0.75/100</f>
        <v>0</v>
      </c>
      <c r="Q7" s="32">
        <f t="shared" ref="Q7:Q35" si="8">ROUND(O7-P7,0)</f>
        <v>0</v>
      </c>
      <c r="R7" s="10">
        <f t="shared" ref="R7:R38" si="9">ROUNDUP(O7*3.25/100,1)</f>
        <v>0</v>
      </c>
      <c r="S7" s="10">
        <f t="shared" ref="S7:S35" si="10">SUM(R7:R7)</f>
        <v>0</v>
      </c>
      <c r="T7" s="10">
        <f t="shared" ref="T7:T35" si="11">S7+O7</f>
        <v>0</v>
      </c>
      <c r="U7" s="10">
        <f t="shared" ref="U7:U35" si="12">ROUND(T7*18%,0)</f>
        <v>0</v>
      </c>
      <c r="V7" s="32">
        <f t="shared" ref="V7:V35" si="13">T7+U7</f>
        <v>0</v>
      </c>
      <c r="X7" s="76"/>
    </row>
    <row r="8" spans="1:24" x14ac:dyDescent="0.2">
      <c r="A8" s="6">
        <v>3</v>
      </c>
      <c r="B8" s="36">
        <v>3562043320</v>
      </c>
      <c r="C8" s="6"/>
      <c r="D8" s="4" t="s">
        <v>124</v>
      </c>
      <c r="E8" s="4" t="s">
        <v>125</v>
      </c>
      <c r="F8" s="5" t="s">
        <v>126</v>
      </c>
      <c r="G8" s="5" t="s">
        <v>66</v>
      </c>
      <c r="H8" s="6"/>
      <c r="I8" s="30">
        <v>26</v>
      </c>
      <c r="J8" s="30">
        <v>0</v>
      </c>
      <c r="K8" s="30">
        <v>0</v>
      </c>
      <c r="L8" s="30">
        <f t="shared" si="4"/>
        <v>0</v>
      </c>
      <c r="M8" s="21">
        <v>19279</v>
      </c>
      <c r="N8" s="31">
        <f t="shared" si="5"/>
        <v>185</v>
      </c>
      <c r="O8" s="31">
        <f t="shared" si="6"/>
        <v>0</v>
      </c>
      <c r="P8" s="31">
        <f t="shared" si="7"/>
        <v>0</v>
      </c>
      <c r="Q8" s="32">
        <f t="shared" si="8"/>
        <v>0</v>
      </c>
      <c r="R8" s="10">
        <f t="shared" si="9"/>
        <v>0</v>
      </c>
      <c r="S8" s="10">
        <f t="shared" si="10"/>
        <v>0</v>
      </c>
      <c r="T8" s="10">
        <f t="shared" si="11"/>
        <v>0</v>
      </c>
      <c r="U8" s="10">
        <f t="shared" si="12"/>
        <v>0</v>
      </c>
      <c r="V8" s="32">
        <f t="shared" si="13"/>
        <v>0</v>
      </c>
      <c r="X8" s="76"/>
    </row>
    <row r="9" spans="1:24" x14ac:dyDescent="0.2">
      <c r="A9" s="6">
        <v>4</v>
      </c>
      <c r="B9" s="36">
        <v>3562043515</v>
      </c>
      <c r="C9" s="6"/>
      <c r="D9" s="4" t="s">
        <v>129</v>
      </c>
      <c r="E9" s="4" t="s">
        <v>132</v>
      </c>
      <c r="F9" s="5">
        <v>44188</v>
      </c>
      <c r="G9" s="5" t="s">
        <v>127</v>
      </c>
      <c r="H9" s="6"/>
      <c r="I9" s="30">
        <v>26</v>
      </c>
      <c r="J9" s="30">
        <v>1.75</v>
      </c>
      <c r="K9" s="30">
        <v>0</v>
      </c>
      <c r="L9" s="30">
        <f t="shared" si="4"/>
        <v>1.75</v>
      </c>
      <c r="M9" s="21">
        <v>17494</v>
      </c>
      <c r="N9" s="31">
        <f t="shared" si="5"/>
        <v>168</v>
      </c>
      <c r="O9" s="31">
        <f t="shared" si="6"/>
        <v>294</v>
      </c>
      <c r="P9" s="31">
        <f t="shared" si="7"/>
        <v>2.2050000000000001</v>
      </c>
      <c r="Q9" s="32">
        <f t="shared" si="8"/>
        <v>292</v>
      </c>
      <c r="R9" s="10">
        <f>ROUNDUP(O9*3.25/100,0)</f>
        <v>10</v>
      </c>
      <c r="S9" s="10">
        <f t="shared" si="10"/>
        <v>10</v>
      </c>
      <c r="T9" s="10">
        <f t="shared" si="11"/>
        <v>304</v>
      </c>
      <c r="U9" s="10">
        <f t="shared" si="12"/>
        <v>55</v>
      </c>
      <c r="V9" s="32">
        <f t="shared" si="13"/>
        <v>359</v>
      </c>
      <c r="X9" s="76"/>
    </row>
    <row r="10" spans="1:24" x14ac:dyDescent="0.2">
      <c r="A10" s="6">
        <v>5</v>
      </c>
      <c r="B10" s="36">
        <v>3562044036</v>
      </c>
      <c r="C10" s="6"/>
      <c r="D10" s="4" t="s">
        <v>128</v>
      </c>
      <c r="E10" s="4" t="s">
        <v>136</v>
      </c>
      <c r="F10" s="37">
        <v>44193</v>
      </c>
      <c r="G10" s="5" t="s">
        <v>66</v>
      </c>
      <c r="H10" s="6"/>
      <c r="I10" s="30">
        <v>26</v>
      </c>
      <c r="J10" s="30">
        <v>10.02</v>
      </c>
      <c r="K10" s="30">
        <v>0</v>
      </c>
      <c r="L10" s="30">
        <f t="shared" si="4"/>
        <v>10.02</v>
      </c>
      <c r="M10" s="21">
        <v>19279</v>
      </c>
      <c r="N10" s="31">
        <f t="shared" si="5"/>
        <v>185</v>
      </c>
      <c r="O10" s="31">
        <f t="shared" si="6"/>
        <v>1854</v>
      </c>
      <c r="P10" s="31">
        <f t="shared" si="7"/>
        <v>13.904999999999999</v>
      </c>
      <c r="Q10" s="32">
        <f t="shared" si="8"/>
        <v>1840</v>
      </c>
      <c r="R10" s="10">
        <f>ROUNDUP(O10*3.25/100,0)</f>
        <v>61</v>
      </c>
      <c r="S10" s="10">
        <f t="shared" si="10"/>
        <v>61</v>
      </c>
      <c r="T10" s="10">
        <f t="shared" si="11"/>
        <v>1915</v>
      </c>
      <c r="U10" s="10">
        <f t="shared" si="12"/>
        <v>345</v>
      </c>
      <c r="V10" s="32">
        <f t="shared" si="13"/>
        <v>2260</v>
      </c>
      <c r="X10" s="76"/>
    </row>
    <row r="11" spans="1:24" x14ac:dyDescent="0.2">
      <c r="A11" s="6">
        <v>6</v>
      </c>
      <c r="B11" s="36">
        <v>3562044037</v>
      </c>
      <c r="C11" s="6"/>
      <c r="D11" s="4" t="s">
        <v>147</v>
      </c>
      <c r="E11" s="4" t="s">
        <v>137</v>
      </c>
      <c r="F11" s="38">
        <v>44188</v>
      </c>
      <c r="G11" s="5" t="s">
        <v>130</v>
      </c>
      <c r="H11" s="6"/>
      <c r="I11" s="30">
        <v>26</v>
      </c>
      <c r="J11" s="30">
        <v>0</v>
      </c>
      <c r="K11" s="30">
        <v>0</v>
      </c>
      <c r="L11" s="30">
        <f t="shared" si="4"/>
        <v>0</v>
      </c>
      <c r="M11" s="21">
        <v>19279</v>
      </c>
      <c r="N11" s="31">
        <f t="shared" si="5"/>
        <v>185</v>
      </c>
      <c r="O11" s="31">
        <f t="shared" si="6"/>
        <v>0</v>
      </c>
      <c r="P11" s="31">
        <f t="shared" si="7"/>
        <v>0</v>
      </c>
      <c r="Q11" s="32">
        <f t="shared" si="8"/>
        <v>0</v>
      </c>
      <c r="R11" s="10">
        <f t="shared" si="9"/>
        <v>0</v>
      </c>
      <c r="S11" s="10">
        <f t="shared" si="10"/>
        <v>0</v>
      </c>
      <c r="T11" s="10">
        <f t="shared" si="11"/>
        <v>0</v>
      </c>
      <c r="U11" s="10">
        <f t="shared" si="12"/>
        <v>0</v>
      </c>
      <c r="V11" s="32">
        <f t="shared" si="13"/>
        <v>0</v>
      </c>
      <c r="X11" s="76"/>
    </row>
    <row r="12" spans="1:24" x14ac:dyDescent="0.2">
      <c r="A12" s="6">
        <v>7</v>
      </c>
      <c r="B12" s="36">
        <v>3562044119</v>
      </c>
      <c r="C12" s="6"/>
      <c r="D12" s="4" t="s">
        <v>138</v>
      </c>
      <c r="E12" s="4" t="s">
        <v>139</v>
      </c>
      <c r="F12" s="38">
        <v>44207</v>
      </c>
      <c r="G12" s="5" t="s">
        <v>66</v>
      </c>
      <c r="H12" s="6"/>
      <c r="I12" s="30">
        <v>26</v>
      </c>
      <c r="J12" s="30">
        <v>10.27</v>
      </c>
      <c r="K12" s="30">
        <v>0</v>
      </c>
      <c r="L12" s="30">
        <f t="shared" si="4"/>
        <v>10.27</v>
      </c>
      <c r="M12" s="21">
        <v>19279</v>
      </c>
      <c r="N12" s="31">
        <f t="shared" si="5"/>
        <v>185</v>
      </c>
      <c r="O12" s="31">
        <f t="shared" si="6"/>
        <v>1900</v>
      </c>
      <c r="P12" s="31">
        <v>0</v>
      </c>
      <c r="Q12" s="32">
        <f t="shared" si="8"/>
        <v>1900</v>
      </c>
      <c r="R12" s="10">
        <v>0</v>
      </c>
      <c r="S12" s="10">
        <f t="shared" si="10"/>
        <v>0</v>
      </c>
      <c r="T12" s="10">
        <f t="shared" si="11"/>
        <v>1900</v>
      </c>
      <c r="U12" s="10">
        <f t="shared" si="12"/>
        <v>342</v>
      </c>
      <c r="V12" s="32">
        <f t="shared" si="13"/>
        <v>2242</v>
      </c>
      <c r="X12" s="76"/>
    </row>
    <row r="13" spans="1:24" x14ac:dyDescent="0.2">
      <c r="A13" s="6">
        <v>8</v>
      </c>
      <c r="B13" s="36">
        <v>3562056132</v>
      </c>
      <c r="C13" s="6"/>
      <c r="D13" s="4" t="s">
        <v>164</v>
      </c>
      <c r="E13" s="4" t="s">
        <v>150</v>
      </c>
      <c r="F13" s="38">
        <v>44378</v>
      </c>
      <c r="G13" s="5" t="s">
        <v>66</v>
      </c>
      <c r="H13" s="6"/>
      <c r="I13" s="30">
        <v>26</v>
      </c>
      <c r="J13" s="30">
        <v>20.56</v>
      </c>
      <c r="K13" s="30">
        <v>0</v>
      </c>
      <c r="L13" s="30">
        <f t="shared" si="4"/>
        <v>20.56</v>
      </c>
      <c r="M13" s="21">
        <v>19279</v>
      </c>
      <c r="N13" s="31">
        <f t="shared" si="5"/>
        <v>185</v>
      </c>
      <c r="O13" s="31">
        <f t="shared" si="6"/>
        <v>3804</v>
      </c>
      <c r="P13" s="31">
        <f t="shared" si="7"/>
        <v>28.53</v>
      </c>
      <c r="Q13" s="32">
        <f t="shared" si="8"/>
        <v>3775</v>
      </c>
      <c r="R13" s="10">
        <f t="shared" ref="R13:R20" si="14">ROUNDUP(O13*3.25/100,0)</f>
        <v>124</v>
      </c>
      <c r="S13" s="10">
        <f t="shared" si="10"/>
        <v>124</v>
      </c>
      <c r="T13" s="10">
        <f t="shared" si="11"/>
        <v>3928</v>
      </c>
      <c r="U13" s="10">
        <f t="shared" si="12"/>
        <v>707</v>
      </c>
      <c r="V13" s="32">
        <f t="shared" si="13"/>
        <v>4635</v>
      </c>
      <c r="X13" s="76"/>
    </row>
    <row r="14" spans="1:24" x14ac:dyDescent="0.2">
      <c r="A14" s="6">
        <v>9</v>
      </c>
      <c r="B14" s="36">
        <v>3562056137</v>
      </c>
      <c r="C14" s="6"/>
      <c r="D14" s="4" t="s">
        <v>148</v>
      </c>
      <c r="E14" s="4" t="s">
        <v>149</v>
      </c>
      <c r="F14" s="38">
        <v>44378</v>
      </c>
      <c r="G14" s="5" t="s">
        <v>127</v>
      </c>
      <c r="H14" s="6"/>
      <c r="I14" s="30">
        <v>26</v>
      </c>
      <c r="J14" s="30">
        <v>1</v>
      </c>
      <c r="K14" s="30">
        <v>0</v>
      </c>
      <c r="L14" s="30">
        <f t="shared" si="4"/>
        <v>1</v>
      </c>
      <c r="M14" s="21">
        <v>17494</v>
      </c>
      <c r="N14" s="31">
        <f t="shared" si="5"/>
        <v>168</v>
      </c>
      <c r="O14" s="31">
        <f t="shared" si="6"/>
        <v>168</v>
      </c>
      <c r="P14" s="31">
        <f t="shared" si="7"/>
        <v>1.26</v>
      </c>
      <c r="Q14" s="32">
        <f t="shared" si="8"/>
        <v>167</v>
      </c>
      <c r="R14" s="10">
        <f t="shared" si="14"/>
        <v>6</v>
      </c>
      <c r="S14" s="10">
        <f t="shared" si="10"/>
        <v>6</v>
      </c>
      <c r="T14" s="10">
        <f t="shared" si="11"/>
        <v>174</v>
      </c>
      <c r="U14" s="10">
        <f t="shared" si="12"/>
        <v>31</v>
      </c>
      <c r="V14" s="32">
        <f t="shared" si="13"/>
        <v>205</v>
      </c>
      <c r="X14" s="76"/>
    </row>
    <row r="15" spans="1:24" x14ac:dyDescent="0.2">
      <c r="A15" s="6">
        <v>10</v>
      </c>
      <c r="B15" s="36">
        <v>3562028794</v>
      </c>
      <c r="C15" s="6"/>
      <c r="D15" s="4" t="s">
        <v>168</v>
      </c>
      <c r="E15" s="4" t="s">
        <v>167</v>
      </c>
      <c r="F15" s="38">
        <v>43693</v>
      </c>
      <c r="G15" s="5" t="s">
        <v>66</v>
      </c>
      <c r="H15" s="6"/>
      <c r="I15" s="30">
        <v>26</v>
      </c>
      <c r="J15" s="30">
        <v>1</v>
      </c>
      <c r="K15" s="30">
        <v>0</v>
      </c>
      <c r="L15" s="30">
        <f t="shared" si="4"/>
        <v>1</v>
      </c>
      <c r="M15" s="21">
        <v>19279</v>
      </c>
      <c r="N15" s="31">
        <f t="shared" si="5"/>
        <v>185</v>
      </c>
      <c r="O15" s="31">
        <f t="shared" si="6"/>
        <v>185</v>
      </c>
      <c r="P15" s="31">
        <f t="shared" si="7"/>
        <v>1.3875</v>
      </c>
      <c r="Q15" s="32">
        <f t="shared" si="8"/>
        <v>184</v>
      </c>
      <c r="R15" s="10">
        <f t="shared" si="14"/>
        <v>7</v>
      </c>
      <c r="S15" s="10">
        <f t="shared" si="10"/>
        <v>7</v>
      </c>
      <c r="T15" s="10">
        <f t="shared" si="11"/>
        <v>192</v>
      </c>
      <c r="U15" s="10">
        <f t="shared" si="12"/>
        <v>35</v>
      </c>
      <c r="V15" s="32">
        <f t="shared" si="13"/>
        <v>227</v>
      </c>
      <c r="X15" s="76"/>
    </row>
    <row r="16" spans="1:24" x14ac:dyDescent="0.2">
      <c r="A16" s="6">
        <v>11</v>
      </c>
      <c r="B16" s="36">
        <v>3562044038</v>
      </c>
      <c r="C16" s="6"/>
      <c r="D16" s="4" t="s">
        <v>169</v>
      </c>
      <c r="E16" s="4" t="s">
        <v>170</v>
      </c>
      <c r="F16" s="38">
        <v>44194</v>
      </c>
      <c r="G16" s="5" t="s">
        <v>66</v>
      </c>
      <c r="H16" s="6"/>
      <c r="I16" s="30">
        <v>26</v>
      </c>
      <c r="J16" s="30">
        <v>3.62</v>
      </c>
      <c r="K16" s="30">
        <v>0</v>
      </c>
      <c r="L16" s="30">
        <f t="shared" si="4"/>
        <v>3.62</v>
      </c>
      <c r="M16" s="21">
        <v>19279</v>
      </c>
      <c r="N16" s="31">
        <f t="shared" si="5"/>
        <v>185</v>
      </c>
      <c r="O16" s="31">
        <f t="shared" si="6"/>
        <v>670</v>
      </c>
      <c r="P16" s="31">
        <f t="shared" si="7"/>
        <v>5.0250000000000004</v>
      </c>
      <c r="Q16" s="32">
        <f t="shared" si="8"/>
        <v>665</v>
      </c>
      <c r="R16" s="10">
        <f t="shared" si="14"/>
        <v>22</v>
      </c>
      <c r="S16" s="10">
        <f t="shared" si="10"/>
        <v>22</v>
      </c>
      <c r="T16" s="10">
        <f t="shared" si="11"/>
        <v>692</v>
      </c>
      <c r="U16" s="10">
        <f t="shared" si="12"/>
        <v>125</v>
      </c>
      <c r="V16" s="32">
        <f t="shared" si="13"/>
        <v>817</v>
      </c>
      <c r="X16" s="76"/>
    </row>
    <row r="17" spans="1:24" x14ac:dyDescent="0.2">
      <c r="A17" s="6">
        <v>12</v>
      </c>
      <c r="B17" s="36">
        <v>3562060691</v>
      </c>
      <c r="C17" s="6"/>
      <c r="D17" s="4" t="s">
        <v>160</v>
      </c>
      <c r="E17" s="4" t="s">
        <v>161</v>
      </c>
      <c r="F17" s="38">
        <v>44446</v>
      </c>
      <c r="G17" s="5" t="s">
        <v>66</v>
      </c>
      <c r="H17" s="6"/>
      <c r="I17" s="30">
        <v>26</v>
      </c>
      <c r="J17" s="30">
        <v>11.35</v>
      </c>
      <c r="K17" s="30">
        <v>0</v>
      </c>
      <c r="L17" s="30">
        <f t="shared" si="4"/>
        <v>11.35</v>
      </c>
      <c r="M17" s="21">
        <v>19279</v>
      </c>
      <c r="N17" s="31">
        <f t="shared" si="5"/>
        <v>185</v>
      </c>
      <c r="O17" s="31">
        <f t="shared" si="6"/>
        <v>2100</v>
      </c>
      <c r="P17" s="31">
        <f t="shared" si="7"/>
        <v>15.75</v>
      </c>
      <c r="Q17" s="32">
        <f t="shared" si="8"/>
        <v>2084</v>
      </c>
      <c r="R17" s="10">
        <f t="shared" si="14"/>
        <v>69</v>
      </c>
      <c r="S17" s="10">
        <f t="shared" si="10"/>
        <v>69</v>
      </c>
      <c r="T17" s="10">
        <f t="shared" si="11"/>
        <v>2169</v>
      </c>
      <c r="U17" s="10">
        <f t="shared" si="12"/>
        <v>390</v>
      </c>
      <c r="V17" s="32">
        <f t="shared" si="13"/>
        <v>2559</v>
      </c>
      <c r="X17" s="76"/>
    </row>
    <row r="18" spans="1:24" x14ac:dyDescent="0.2">
      <c r="A18" s="6">
        <v>13</v>
      </c>
      <c r="B18" s="36">
        <v>3562033964</v>
      </c>
      <c r="C18" s="6"/>
      <c r="D18" s="4" t="s">
        <v>172</v>
      </c>
      <c r="E18" s="4" t="s">
        <v>173</v>
      </c>
      <c r="F18" s="38">
        <v>43876</v>
      </c>
      <c r="G18" s="5" t="s">
        <v>70</v>
      </c>
      <c r="H18" s="6"/>
      <c r="I18" s="30">
        <v>26</v>
      </c>
      <c r="J18" s="30">
        <v>2.02</v>
      </c>
      <c r="K18" s="30">
        <v>0</v>
      </c>
      <c r="L18" s="30">
        <f t="shared" si="4"/>
        <v>2.02</v>
      </c>
      <c r="M18" s="21">
        <v>17494</v>
      </c>
      <c r="N18" s="31">
        <f t="shared" si="5"/>
        <v>168</v>
      </c>
      <c r="O18" s="31">
        <f t="shared" si="6"/>
        <v>339</v>
      </c>
      <c r="P18" s="31">
        <f t="shared" si="7"/>
        <v>2.5425</v>
      </c>
      <c r="Q18" s="32">
        <f t="shared" si="8"/>
        <v>336</v>
      </c>
      <c r="R18" s="10">
        <f t="shared" si="14"/>
        <v>12</v>
      </c>
      <c r="S18" s="10">
        <f t="shared" si="10"/>
        <v>12</v>
      </c>
      <c r="T18" s="10">
        <f t="shared" si="11"/>
        <v>351</v>
      </c>
      <c r="U18" s="10">
        <f t="shared" si="12"/>
        <v>63</v>
      </c>
      <c r="V18" s="32">
        <f t="shared" si="13"/>
        <v>414</v>
      </c>
      <c r="X18" s="76"/>
    </row>
    <row r="19" spans="1:24" x14ac:dyDescent="0.2">
      <c r="A19" s="6">
        <v>14</v>
      </c>
      <c r="B19" s="7">
        <v>3562018295</v>
      </c>
      <c r="C19" s="4">
        <v>5021</v>
      </c>
      <c r="D19" s="4" t="s">
        <v>176</v>
      </c>
      <c r="E19" s="4" t="s">
        <v>177</v>
      </c>
      <c r="F19" s="5">
        <v>43453</v>
      </c>
      <c r="G19" s="5" t="s">
        <v>70</v>
      </c>
      <c r="H19" s="6"/>
      <c r="I19" s="30">
        <v>26</v>
      </c>
      <c r="J19" s="30">
        <v>5.55</v>
      </c>
      <c r="K19" s="30">
        <v>0</v>
      </c>
      <c r="L19" s="30">
        <f t="shared" si="4"/>
        <v>5.55</v>
      </c>
      <c r="M19" s="21">
        <v>17494</v>
      </c>
      <c r="N19" s="31">
        <f t="shared" si="5"/>
        <v>168</v>
      </c>
      <c r="O19" s="31">
        <f t="shared" si="6"/>
        <v>932</v>
      </c>
      <c r="P19" s="31">
        <f t="shared" si="7"/>
        <v>6.99</v>
      </c>
      <c r="Q19" s="32">
        <f t="shared" si="8"/>
        <v>925</v>
      </c>
      <c r="R19" s="10">
        <f t="shared" si="14"/>
        <v>31</v>
      </c>
      <c r="S19" s="10">
        <f t="shared" si="10"/>
        <v>31</v>
      </c>
      <c r="T19" s="10">
        <f t="shared" si="11"/>
        <v>963</v>
      </c>
      <c r="U19" s="10">
        <f t="shared" si="12"/>
        <v>173</v>
      </c>
      <c r="V19" s="32">
        <f t="shared" si="13"/>
        <v>1136</v>
      </c>
      <c r="X19" s="76"/>
    </row>
    <row r="20" spans="1:24" x14ac:dyDescent="0.2">
      <c r="A20" s="6">
        <v>15</v>
      </c>
      <c r="B20" s="7">
        <v>3562017868</v>
      </c>
      <c r="C20" s="4">
        <v>4592</v>
      </c>
      <c r="D20" s="4" t="s">
        <v>179</v>
      </c>
      <c r="E20" s="45" t="s">
        <v>180</v>
      </c>
      <c r="F20" s="46">
        <v>43369</v>
      </c>
      <c r="G20" s="5" t="s">
        <v>66</v>
      </c>
      <c r="H20" s="6"/>
      <c r="I20" s="30">
        <v>26</v>
      </c>
      <c r="J20" s="30">
        <v>7.07</v>
      </c>
      <c r="K20" s="30">
        <v>0</v>
      </c>
      <c r="L20" s="30">
        <f t="shared" si="4"/>
        <v>7.07</v>
      </c>
      <c r="M20" s="21">
        <v>19279</v>
      </c>
      <c r="N20" s="31">
        <f t="shared" si="5"/>
        <v>185</v>
      </c>
      <c r="O20" s="31">
        <f t="shared" si="6"/>
        <v>1308</v>
      </c>
      <c r="P20" s="31">
        <f t="shared" si="7"/>
        <v>9.81</v>
      </c>
      <c r="Q20" s="32">
        <f t="shared" si="8"/>
        <v>1298</v>
      </c>
      <c r="R20" s="10">
        <f t="shared" si="14"/>
        <v>43</v>
      </c>
      <c r="S20" s="10">
        <f t="shared" si="10"/>
        <v>43</v>
      </c>
      <c r="T20" s="10">
        <f t="shared" si="11"/>
        <v>1351</v>
      </c>
      <c r="U20" s="10">
        <f t="shared" si="12"/>
        <v>243</v>
      </c>
      <c r="V20" s="32">
        <f t="shared" si="13"/>
        <v>1594</v>
      </c>
      <c r="X20" s="76"/>
    </row>
    <row r="21" spans="1:24" x14ac:dyDescent="0.2">
      <c r="A21" s="6">
        <v>16</v>
      </c>
      <c r="B21" s="7">
        <v>3562017869</v>
      </c>
      <c r="C21" s="4">
        <v>5024</v>
      </c>
      <c r="D21" s="4" t="s">
        <v>184</v>
      </c>
      <c r="E21" s="45" t="s">
        <v>185</v>
      </c>
      <c r="F21" s="46">
        <v>43405</v>
      </c>
      <c r="G21" s="5" t="s">
        <v>66</v>
      </c>
      <c r="H21" s="6"/>
      <c r="I21" s="30">
        <v>26</v>
      </c>
      <c r="J21" s="30">
        <v>0</v>
      </c>
      <c r="K21" s="30">
        <v>0</v>
      </c>
      <c r="L21" s="30">
        <f t="shared" si="4"/>
        <v>0</v>
      </c>
      <c r="M21" s="21">
        <v>19279</v>
      </c>
      <c r="N21" s="31">
        <f t="shared" si="5"/>
        <v>185</v>
      </c>
      <c r="O21" s="31">
        <f t="shared" si="6"/>
        <v>0</v>
      </c>
      <c r="P21" s="31">
        <v>0</v>
      </c>
      <c r="Q21" s="32">
        <f t="shared" si="8"/>
        <v>0</v>
      </c>
      <c r="R21" s="10">
        <f t="shared" si="9"/>
        <v>0</v>
      </c>
      <c r="S21" s="10">
        <f t="shared" si="10"/>
        <v>0</v>
      </c>
      <c r="T21" s="10">
        <f t="shared" si="11"/>
        <v>0</v>
      </c>
      <c r="U21" s="10">
        <f t="shared" si="12"/>
        <v>0</v>
      </c>
      <c r="V21" s="32">
        <f t="shared" si="13"/>
        <v>0</v>
      </c>
      <c r="X21" s="76"/>
    </row>
    <row r="22" spans="1:24" x14ac:dyDescent="0.2">
      <c r="A22" s="6">
        <v>17</v>
      </c>
      <c r="B22" s="7">
        <v>3562021019</v>
      </c>
      <c r="C22" s="4">
        <v>6196</v>
      </c>
      <c r="D22" s="4" t="s">
        <v>188</v>
      </c>
      <c r="E22" s="45" t="s">
        <v>189</v>
      </c>
      <c r="F22" s="46">
        <v>43584</v>
      </c>
      <c r="G22" s="5" t="s">
        <v>70</v>
      </c>
      <c r="H22" s="6"/>
      <c r="I22" s="30">
        <v>26</v>
      </c>
      <c r="J22" s="30">
        <v>0</v>
      </c>
      <c r="K22" s="30">
        <v>0</v>
      </c>
      <c r="L22" s="30">
        <f t="shared" si="4"/>
        <v>0</v>
      </c>
      <c r="M22" s="21">
        <v>17494</v>
      </c>
      <c r="N22" s="31">
        <f t="shared" si="5"/>
        <v>168</v>
      </c>
      <c r="O22" s="31">
        <f t="shared" si="6"/>
        <v>0</v>
      </c>
      <c r="P22" s="31">
        <f t="shared" si="7"/>
        <v>0</v>
      </c>
      <c r="Q22" s="32">
        <f t="shared" si="8"/>
        <v>0</v>
      </c>
      <c r="R22" s="10">
        <f t="shared" si="9"/>
        <v>0</v>
      </c>
      <c r="S22" s="10">
        <f t="shared" si="10"/>
        <v>0</v>
      </c>
      <c r="T22" s="10">
        <f t="shared" si="11"/>
        <v>0</v>
      </c>
      <c r="U22" s="10">
        <f t="shared" si="12"/>
        <v>0</v>
      </c>
      <c r="V22" s="32">
        <f t="shared" si="13"/>
        <v>0</v>
      </c>
      <c r="X22" s="76"/>
    </row>
    <row r="23" spans="1:24" x14ac:dyDescent="0.2">
      <c r="A23" s="6">
        <v>18</v>
      </c>
      <c r="B23" s="7">
        <v>3562021020</v>
      </c>
      <c r="C23" s="4">
        <v>6360</v>
      </c>
      <c r="D23" s="4" t="s">
        <v>192</v>
      </c>
      <c r="E23" s="45" t="s">
        <v>193</v>
      </c>
      <c r="F23" s="46">
        <v>43598</v>
      </c>
      <c r="G23" s="5" t="s">
        <v>70</v>
      </c>
      <c r="H23" s="6"/>
      <c r="I23" s="30">
        <v>26</v>
      </c>
      <c r="J23" s="30">
        <v>4.12</v>
      </c>
      <c r="K23" s="30">
        <v>0</v>
      </c>
      <c r="L23" s="30">
        <f t="shared" si="4"/>
        <v>4.12</v>
      </c>
      <c r="M23" s="21">
        <v>17494</v>
      </c>
      <c r="N23" s="31">
        <f t="shared" si="5"/>
        <v>168</v>
      </c>
      <c r="O23" s="31">
        <f t="shared" si="6"/>
        <v>692</v>
      </c>
      <c r="P23" s="31">
        <f t="shared" si="7"/>
        <v>5.19</v>
      </c>
      <c r="Q23" s="32">
        <f t="shared" si="8"/>
        <v>687</v>
      </c>
      <c r="R23" s="10">
        <f>ROUNDUP(O23*3.25/100,0)</f>
        <v>23</v>
      </c>
      <c r="S23" s="10">
        <f t="shared" si="10"/>
        <v>23</v>
      </c>
      <c r="T23" s="10">
        <f t="shared" si="11"/>
        <v>715</v>
      </c>
      <c r="U23" s="10">
        <f t="shared" si="12"/>
        <v>129</v>
      </c>
      <c r="V23" s="32">
        <f t="shared" si="13"/>
        <v>844</v>
      </c>
      <c r="X23" s="76"/>
    </row>
    <row r="24" spans="1:24" x14ac:dyDescent="0.2">
      <c r="A24" s="6">
        <v>19</v>
      </c>
      <c r="B24" s="7">
        <v>3562019997</v>
      </c>
      <c r="C24" s="4">
        <v>5179</v>
      </c>
      <c r="D24" s="4" t="s">
        <v>196</v>
      </c>
      <c r="E24" s="45" t="s">
        <v>197</v>
      </c>
      <c r="F24" s="46">
        <v>43474</v>
      </c>
      <c r="G24" s="5" t="s">
        <v>70</v>
      </c>
      <c r="H24" s="6"/>
      <c r="I24" s="30">
        <v>26</v>
      </c>
      <c r="J24" s="30">
        <v>3.12</v>
      </c>
      <c r="K24" s="30">
        <v>0</v>
      </c>
      <c r="L24" s="30">
        <f t="shared" si="4"/>
        <v>3.12</v>
      </c>
      <c r="M24" s="21">
        <v>17494</v>
      </c>
      <c r="N24" s="31">
        <f t="shared" si="5"/>
        <v>168</v>
      </c>
      <c r="O24" s="31">
        <f t="shared" si="6"/>
        <v>524</v>
      </c>
      <c r="P24" s="31">
        <f t="shared" si="7"/>
        <v>3.93</v>
      </c>
      <c r="Q24" s="32">
        <f t="shared" si="8"/>
        <v>520</v>
      </c>
      <c r="R24" s="10">
        <f>ROUNDUP(O24*3.25/100,0)</f>
        <v>18</v>
      </c>
      <c r="S24" s="10">
        <f t="shared" si="10"/>
        <v>18</v>
      </c>
      <c r="T24" s="10">
        <f t="shared" si="11"/>
        <v>542</v>
      </c>
      <c r="U24" s="10">
        <f t="shared" si="12"/>
        <v>98</v>
      </c>
      <c r="V24" s="32">
        <f t="shared" si="13"/>
        <v>640</v>
      </c>
      <c r="X24" s="76"/>
    </row>
    <row r="25" spans="1:24" x14ac:dyDescent="0.2">
      <c r="A25" s="6">
        <v>20</v>
      </c>
      <c r="B25" s="7">
        <v>3562027441</v>
      </c>
      <c r="C25" s="4"/>
      <c r="D25" s="54" t="s">
        <v>200</v>
      </c>
      <c r="E25" s="55" t="s">
        <v>201</v>
      </c>
      <c r="F25" s="46">
        <v>43648</v>
      </c>
      <c r="G25" s="5" t="s">
        <v>70</v>
      </c>
      <c r="H25" s="6"/>
      <c r="I25" s="30">
        <v>26</v>
      </c>
      <c r="J25" s="30">
        <v>1.93</v>
      </c>
      <c r="K25" s="30">
        <v>0</v>
      </c>
      <c r="L25" s="30">
        <f t="shared" si="4"/>
        <v>1.93</v>
      </c>
      <c r="M25" s="21">
        <v>17494</v>
      </c>
      <c r="N25" s="31">
        <f t="shared" si="5"/>
        <v>168</v>
      </c>
      <c r="O25" s="31">
        <f t="shared" si="6"/>
        <v>324</v>
      </c>
      <c r="P25" s="31">
        <f t="shared" si="7"/>
        <v>2.4300000000000002</v>
      </c>
      <c r="Q25" s="32">
        <f t="shared" si="8"/>
        <v>322</v>
      </c>
      <c r="R25" s="10">
        <f>ROUNDUP(O25*3.25/100,0)</f>
        <v>11</v>
      </c>
      <c r="S25" s="10">
        <f t="shared" si="10"/>
        <v>11</v>
      </c>
      <c r="T25" s="10">
        <f t="shared" si="11"/>
        <v>335</v>
      </c>
      <c r="U25" s="10">
        <f t="shared" si="12"/>
        <v>60</v>
      </c>
      <c r="V25" s="32">
        <f t="shared" si="13"/>
        <v>395</v>
      </c>
      <c r="X25" s="76"/>
    </row>
    <row r="26" spans="1:24" x14ac:dyDescent="0.2">
      <c r="A26" s="6">
        <v>21</v>
      </c>
      <c r="B26" s="7">
        <v>3562026906</v>
      </c>
      <c r="C26" s="4"/>
      <c r="D26" s="54" t="s">
        <v>204</v>
      </c>
      <c r="E26" s="55" t="s">
        <v>205</v>
      </c>
      <c r="F26" s="46">
        <v>43654</v>
      </c>
      <c r="G26" s="5" t="s">
        <v>70</v>
      </c>
      <c r="H26" s="6"/>
      <c r="I26" s="30">
        <v>26</v>
      </c>
      <c r="J26" s="30">
        <v>0</v>
      </c>
      <c r="K26" s="30">
        <v>0</v>
      </c>
      <c r="L26" s="30">
        <f t="shared" si="4"/>
        <v>0</v>
      </c>
      <c r="M26" s="21">
        <v>17494</v>
      </c>
      <c r="N26" s="31">
        <f t="shared" si="5"/>
        <v>168</v>
      </c>
      <c r="O26" s="31">
        <f t="shared" si="6"/>
        <v>0</v>
      </c>
      <c r="P26" s="31">
        <f t="shared" si="7"/>
        <v>0</v>
      </c>
      <c r="Q26" s="32">
        <f t="shared" si="8"/>
        <v>0</v>
      </c>
      <c r="R26" s="10">
        <f t="shared" si="9"/>
        <v>0</v>
      </c>
      <c r="S26" s="10">
        <f t="shared" si="10"/>
        <v>0</v>
      </c>
      <c r="T26" s="10">
        <f t="shared" si="11"/>
        <v>0</v>
      </c>
      <c r="U26" s="10">
        <f t="shared" si="12"/>
        <v>0</v>
      </c>
      <c r="V26" s="32">
        <f t="shared" si="13"/>
        <v>0</v>
      </c>
      <c r="X26" s="76"/>
    </row>
    <row r="27" spans="1:24" x14ac:dyDescent="0.2">
      <c r="A27" s="6">
        <v>22</v>
      </c>
      <c r="B27" s="7">
        <v>3562027124</v>
      </c>
      <c r="C27" s="4"/>
      <c r="D27" s="54" t="s">
        <v>208</v>
      </c>
      <c r="E27" s="55" t="s">
        <v>209</v>
      </c>
      <c r="F27" s="46">
        <v>43647</v>
      </c>
      <c r="G27" s="5" t="s">
        <v>66</v>
      </c>
      <c r="H27" s="6"/>
      <c r="I27" s="30">
        <v>26</v>
      </c>
      <c r="J27" s="30">
        <v>5.43</v>
      </c>
      <c r="K27" s="30">
        <v>0</v>
      </c>
      <c r="L27" s="30">
        <f t="shared" si="4"/>
        <v>5.43</v>
      </c>
      <c r="M27" s="21">
        <v>19279</v>
      </c>
      <c r="N27" s="31">
        <f t="shared" si="5"/>
        <v>185</v>
      </c>
      <c r="O27" s="31">
        <f t="shared" si="6"/>
        <v>1005</v>
      </c>
      <c r="P27" s="31">
        <f t="shared" si="7"/>
        <v>7.5374999999999996</v>
      </c>
      <c r="Q27" s="32">
        <f t="shared" si="8"/>
        <v>997</v>
      </c>
      <c r="R27" s="10">
        <f>ROUNDUP(O27*3.25/100,0)</f>
        <v>33</v>
      </c>
      <c r="S27" s="10">
        <f t="shared" si="10"/>
        <v>33</v>
      </c>
      <c r="T27" s="10">
        <f t="shared" si="11"/>
        <v>1038</v>
      </c>
      <c r="U27" s="10">
        <f t="shared" si="12"/>
        <v>187</v>
      </c>
      <c r="V27" s="32">
        <f t="shared" si="13"/>
        <v>1225</v>
      </c>
      <c r="X27" s="76"/>
    </row>
    <row r="28" spans="1:24" x14ac:dyDescent="0.2">
      <c r="A28" s="6">
        <v>23</v>
      </c>
      <c r="B28" s="7">
        <v>3562027123</v>
      </c>
      <c r="C28" s="4"/>
      <c r="D28" s="54" t="s">
        <v>212</v>
      </c>
      <c r="E28" s="55" t="s">
        <v>213</v>
      </c>
      <c r="F28" s="46">
        <v>43648</v>
      </c>
      <c r="G28" s="5" t="s">
        <v>70</v>
      </c>
      <c r="H28" s="6"/>
      <c r="I28" s="30">
        <v>26</v>
      </c>
      <c r="J28" s="30">
        <v>0</v>
      </c>
      <c r="K28" s="30">
        <v>0</v>
      </c>
      <c r="L28" s="30">
        <f t="shared" si="4"/>
        <v>0</v>
      </c>
      <c r="M28" s="21">
        <v>17494</v>
      </c>
      <c r="N28" s="31">
        <f t="shared" si="5"/>
        <v>168</v>
      </c>
      <c r="O28" s="31">
        <f t="shared" si="6"/>
        <v>0</v>
      </c>
      <c r="P28" s="31">
        <f t="shared" si="7"/>
        <v>0</v>
      </c>
      <c r="Q28" s="32">
        <f t="shared" si="8"/>
        <v>0</v>
      </c>
      <c r="R28" s="10">
        <f t="shared" si="9"/>
        <v>0</v>
      </c>
      <c r="S28" s="10">
        <f t="shared" si="10"/>
        <v>0</v>
      </c>
      <c r="T28" s="10">
        <f t="shared" si="11"/>
        <v>0</v>
      </c>
      <c r="U28" s="10">
        <f t="shared" si="12"/>
        <v>0</v>
      </c>
      <c r="V28" s="32">
        <f t="shared" si="13"/>
        <v>0</v>
      </c>
      <c r="X28" s="76"/>
    </row>
    <row r="29" spans="1:24" x14ac:dyDescent="0.2">
      <c r="A29" s="6">
        <v>24</v>
      </c>
      <c r="B29" s="7">
        <v>3562030249</v>
      </c>
      <c r="C29" s="4"/>
      <c r="D29" s="54" t="s">
        <v>216</v>
      </c>
      <c r="E29" s="55" t="s">
        <v>217</v>
      </c>
      <c r="F29" s="46">
        <v>43753</v>
      </c>
      <c r="G29" s="5" t="s">
        <v>66</v>
      </c>
      <c r="H29" s="6"/>
      <c r="I29" s="30">
        <v>26</v>
      </c>
      <c r="J29" s="30">
        <v>8.8699999999999992</v>
      </c>
      <c r="K29" s="30">
        <v>0</v>
      </c>
      <c r="L29" s="30">
        <f t="shared" si="4"/>
        <v>8.8699999999999992</v>
      </c>
      <c r="M29" s="21">
        <v>19279</v>
      </c>
      <c r="N29" s="31">
        <f t="shared" si="5"/>
        <v>185</v>
      </c>
      <c r="O29" s="31">
        <f t="shared" si="6"/>
        <v>1641</v>
      </c>
      <c r="P29" s="31">
        <v>0</v>
      </c>
      <c r="Q29" s="32">
        <f t="shared" si="8"/>
        <v>1641</v>
      </c>
      <c r="R29" s="10">
        <f>ROUNDUP(O29*3.25/100,0)*0</f>
        <v>0</v>
      </c>
      <c r="S29" s="10">
        <f t="shared" si="10"/>
        <v>0</v>
      </c>
      <c r="T29" s="10">
        <f t="shared" si="11"/>
        <v>1641</v>
      </c>
      <c r="U29" s="10">
        <f t="shared" si="12"/>
        <v>295</v>
      </c>
      <c r="V29" s="32">
        <f t="shared" si="13"/>
        <v>1936</v>
      </c>
      <c r="X29" s="76"/>
    </row>
    <row r="30" spans="1:24" x14ac:dyDescent="0.2">
      <c r="A30" s="6">
        <v>25</v>
      </c>
      <c r="B30" s="7">
        <v>3562030436</v>
      </c>
      <c r="C30" s="4"/>
      <c r="D30" s="54" t="s">
        <v>220</v>
      </c>
      <c r="E30" s="55" t="s">
        <v>221</v>
      </c>
      <c r="F30" s="46">
        <v>43762</v>
      </c>
      <c r="G30" s="5" t="s">
        <v>66</v>
      </c>
      <c r="H30" s="6"/>
      <c r="I30" s="30">
        <v>26</v>
      </c>
      <c r="J30" s="30">
        <v>10.77</v>
      </c>
      <c r="K30" s="30">
        <v>0</v>
      </c>
      <c r="L30" s="30">
        <f t="shared" si="4"/>
        <v>10.77</v>
      </c>
      <c r="M30" s="21">
        <v>19279</v>
      </c>
      <c r="N30" s="31">
        <f t="shared" si="5"/>
        <v>185</v>
      </c>
      <c r="O30" s="31">
        <f t="shared" si="6"/>
        <v>1992</v>
      </c>
      <c r="P30" s="31">
        <f t="shared" si="7"/>
        <v>14.94</v>
      </c>
      <c r="Q30" s="32">
        <f t="shared" si="8"/>
        <v>1977</v>
      </c>
      <c r="R30" s="10">
        <f t="shared" ref="R30:R35" si="15">ROUNDUP(O30*3.25/100,0)</f>
        <v>65</v>
      </c>
      <c r="S30" s="10">
        <f t="shared" si="10"/>
        <v>65</v>
      </c>
      <c r="T30" s="10">
        <f t="shared" si="11"/>
        <v>2057</v>
      </c>
      <c r="U30" s="10">
        <f t="shared" si="12"/>
        <v>370</v>
      </c>
      <c r="V30" s="32">
        <f t="shared" si="13"/>
        <v>2427</v>
      </c>
      <c r="X30" s="76"/>
    </row>
    <row r="31" spans="1:24" x14ac:dyDescent="0.2">
      <c r="A31" s="6">
        <v>26</v>
      </c>
      <c r="B31" s="7">
        <v>3562037113</v>
      </c>
      <c r="C31" s="56"/>
      <c r="D31" s="57" t="s">
        <v>224</v>
      </c>
      <c r="E31" s="48" t="s">
        <v>225</v>
      </c>
      <c r="F31" s="46" t="s">
        <v>226</v>
      </c>
      <c r="G31" s="57" t="s">
        <v>66</v>
      </c>
      <c r="H31" s="6"/>
      <c r="I31" s="30">
        <v>26</v>
      </c>
      <c r="J31" s="30">
        <v>7.2</v>
      </c>
      <c r="K31" s="30">
        <v>0</v>
      </c>
      <c r="L31" s="30">
        <f t="shared" si="4"/>
        <v>7.2</v>
      </c>
      <c r="M31" s="21">
        <v>19279</v>
      </c>
      <c r="N31" s="31">
        <f t="shared" si="5"/>
        <v>185</v>
      </c>
      <c r="O31" s="31">
        <f t="shared" si="6"/>
        <v>1332</v>
      </c>
      <c r="P31" s="31">
        <f t="shared" si="7"/>
        <v>9.99</v>
      </c>
      <c r="Q31" s="32">
        <f t="shared" si="8"/>
        <v>1322</v>
      </c>
      <c r="R31" s="10">
        <f t="shared" si="15"/>
        <v>44</v>
      </c>
      <c r="S31" s="10">
        <f t="shared" si="10"/>
        <v>44</v>
      </c>
      <c r="T31" s="10">
        <f t="shared" si="11"/>
        <v>1376</v>
      </c>
      <c r="U31" s="10">
        <f t="shared" si="12"/>
        <v>248</v>
      </c>
      <c r="V31" s="32">
        <f t="shared" si="13"/>
        <v>1624</v>
      </c>
      <c r="X31" s="76"/>
    </row>
    <row r="32" spans="1:24" x14ac:dyDescent="0.2">
      <c r="A32" s="6">
        <v>27</v>
      </c>
      <c r="B32" s="7">
        <v>3562017867</v>
      </c>
      <c r="C32" s="56"/>
      <c r="D32" s="57" t="s">
        <v>229</v>
      </c>
      <c r="E32" s="48" t="s">
        <v>230</v>
      </c>
      <c r="F32" s="46">
        <v>44136</v>
      </c>
      <c r="G32" s="57" t="s">
        <v>66</v>
      </c>
      <c r="H32" s="6"/>
      <c r="I32" s="30">
        <v>26</v>
      </c>
      <c r="J32" s="30">
        <v>2.85</v>
      </c>
      <c r="K32" s="30">
        <v>0</v>
      </c>
      <c r="L32" s="30">
        <f t="shared" si="4"/>
        <v>2.85</v>
      </c>
      <c r="M32" s="21">
        <v>19279</v>
      </c>
      <c r="N32" s="31">
        <f t="shared" si="5"/>
        <v>185</v>
      </c>
      <c r="O32" s="31">
        <f t="shared" si="6"/>
        <v>527</v>
      </c>
      <c r="P32" s="31">
        <f t="shared" si="7"/>
        <v>3.9525000000000001</v>
      </c>
      <c r="Q32" s="32">
        <f t="shared" si="8"/>
        <v>523</v>
      </c>
      <c r="R32" s="10">
        <f t="shared" si="15"/>
        <v>18</v>
      </c>
      <c r="S32" s="10">
        <f t="shared" si="10"/>
        <v>18</v>
      </c>
      <c r="T32" s="10">
        <f t="shared" si="11"/>
        <v>545</v>
      </c>
      <c r="U32" s="10">
        <f t="shared" si="12"/>
        <v>98</v>
      </c>
      <c r="V32" s="32">
        <f t="shared" si="13"/>
        <v>643</v>
      </c>
      <c r="X32" s="76"/>
    </row>
    <row r="33" spans="1:44" x14ac:dyDescent="0.2">
      <c r="A33" s="6">
        <v>28</v>
      </c>
      <c r="B33" s="7">
        <v>3562029973</v>
      </c>
      <c r="C33" s="6">
        <v>6596</v>
      </c>
      <c r="D33" s="4" t="s">
        <v>233</v>
      </c>
      <c r="E33" s="4" t="s">
        <v>234</v>
      </c>
      <c r="F33" s="5">
        <v>43647</v>
      </c>
      <c r="G33" s="5" t="s">
        <v>235</v>
      </c>
      <c r="H33" s="6"/>
      <c r="I33" s="30">
        <v>26</v>
      </c>
      <c r="J33" s="30">
        <v>9.2200000000000006</v>
      </c>
      <c r="K33" s="30">
        <v>0</v>
      </c>
      <c r="L33" s="30">
        <f t="shared" si="4"/>
        <v>9.2200000000000006</v>
      </c>
      <c r="M33" s="21">
        <v>17494</v>
      </c>
      <c r="N33" s="31">
        <f t="shared" si="5"/>
        <v>168</v>
      </c>
      <c r="O33" s="31">
        <f t="shared" si="6"/>
        <v>1549</v>
      </c>
      <c r="P33" s="31">
        <f t="shared" si="7"/>
        <v>11.6175</v>
      </c>
      <c r="Q33" s="32">
        <f t="shared" si="8"/>
        <v>1537</v>
      </c>
      <c r="R33" s="10">
        <f t="shared" si="15"/>
        <v>51</v>
      </c>
      <c r="S33" s="10">
        <f t="shared" si="10"/>
        <v>51</v>
      </c>
      <c r="T33" s="10">
        <f t="shared" si="11"/>
        <v>1600</v>
      </c>
      <c r="U33" s="10">
        <f t="shared" si="12"/>
        <v>288</v>
      </c>
      <c r="V33" s="32">
        <f t="shared" si="13"/>
        <v>1888</v>
      </c>
      <c r="X33" s="76"/>
    </row>
    <row r="34" spans="1:44" x14ac:dyDescent="0.2">
      <c r="A34" s="6">
        <v>29</v>
      </c>
      <c r="B34" s="7">
        <v>3562029977</v>
      </c>
      <c r="C34" s="6">
        <v>6597</v>
      </c>
      <c r="D34" s="4" t="s">
        <v>238</v>
      </c>
      <c r="E34" s="4" t="s">
        <v>200</v>
      </c>
      <c r="F34" s="5">
        <v>43664</v>
      </c>
      <c r="G34" s="5" t="s">
        <v>235</v>
      </c>
      <c r="H34" s="6"/>
      <c r="I34" s="30">
        <v>26</v>
      </c>
      <c r="J34" s="30">
        <v>10.02</v>
      </c>
      <c r="K34" s="30">
        <v>0</v>
      </c>
      <c r="L34" s="30">
        <f t="shared" si="4"/>
        <v>10.02</v>
      </c>
      <c r="M34" s="21">
        <v>17494</v>
      </c>
      <c r="N34" s="31">
        <f t="shared" si="5"/>
        <v>168</v>
      </c>
      <c r="O34" s="31">
        <f t="shared" si="6"/>
        <v>1683</v>
      </c>
      <c r="P34" s="31">
        <f t="shared" si="7"/>
        <v>12.6225</v>
      </c>
      <c r="Q34" s="32">
        <f t="shared" si="8"/>
        <v>1670</v>
      </c>
      <c r="R34" s="10">
        <f t="shared" si="15"/>
        <v>55</v>
      </c>
      <c r="S34" s="10">
        <f t="shared" si="10"/>
        <v>55</v>
      </c>
      <c r="T34" s="10">
        <f t="shared" si="11"/>
        <v>1738</v>
      </c>
      <c r="U34" s="10">
        <f t="shared" si="12"/>
        <v>313</v>
      </c>
      <c r="V34" s="32">
        <f t="shared" si="13"/>
        <v>2051</v>
      </c>
      <c r="X34" s="76"/>
    </row>
    <row r="35" spans="1:44" x14ac:dyDescent="0.2">
      <c r="A35" s="6">
        <v>30</v>
      </c>
      <c r="B35" s="7">
        <v>3562081808</v>
      </c>
      <c r="C35" s="6"/>
      <c r="D35" s="4" t="s">
        <v>241</v>
      </c>
      <c r="E35" s="4" t="s">
        <v>246</v>
      </c>
      <c r="F35" s="5" t="s">
        <v>242</v>
      </c>
      <c r="G35" s="5" t="s">
        <v>235</v>
      </c>
      <c r="H35" s="6"/>
      <c r="I35" s="30">
        <v>26</v>
      </c>
      <c r="J35" s="30">
        <v>3.65</v>
      </c>
      <c r="K35" s="30">
        <v>0</v>
      </c>
      <c r="L35" s="30">
        <f t="shared" si="4"/>
        <v>3.65</v>
      </c>
      <c r="M35" s="21">
        <v>17494</v>
      </c>
      <c r="N35" s="31">
        <f t="shared" si="5"/>
        <v>168</v>
      </c>
      <c r="O35" s="31">
        <f t="shared" si="6"/>
        <v>613</v>
      </c>
      <c r="P35" s="31">
        <f t="shared" si="7"/>
        <v>4.5975000000000001</v>
      </c>
      <c r="Q35" s="32">
        <f t="shared" si="8"/>
        <v>608</v>
      </c>
      <c r="R35" s="10">
        <f t="shared" si="15"/>
        <v>20</v>
      </c>
      <c r="S35" s="10">
        <f t="shared" si="10"/>
        <v>20</v>
      </c>
      <c r="T35" s="10">
        <f t="shared" si="11"/>
        <v>633</v>
      </c>
      <c r="U35" s="10">
        <f t="shared" si="12"/>
        <v>114</v>
      </c>
      <c r="V35" s="32">
        <f t="shared" si="13"/>
        <v>747</v>
      </c>
      <c r="X35" s="76"/>
    </row>
    <row r="36" spans="1:44" x14ac:dyDescent="0.2">
      <c r="A36" s="6">
        <v>31</v>
      </c>
      <c r="B36" s="7">
        <v>3562083587</v>
      </c>
      <c r="C36" s="4"/>
      <c r="D36" s="60" t="s">
        <v>244</v>
      </c>
      <c r="E36" s="62" t="s">
        <v>250</v>
      </c>
      <c r="F36" s="5" t="s">
        <v>245</v>
      </c>
      <c r="G36" s="61" t="s">
        <v>243</v>
      </c>
      <c r="H36" s="3"/>
      <c r="I36" s="30">
        <v>26</v>
      </c>
      <c r="J36" s="30">
        <v>0</v>
      </c>
      <c r="K36" s="30">
        <v>0</v>
      </c>
      <c r="L36" s="30">
        <f t="shared" si="4"/>
        <v>0</v>
      </c>
      <c r="M36" s="21">
        <v>19279</v>
      </c>
      <c r="N36" s="31">
        <f t="shared" si="5"/>
        <v>185</v>
      </c>
      <c r="O36" s="31">
        <f t="shared" si="6"/>
        <v>0</v>
      </c>
      <c r="P36" s="31">
        <f t="shared" ref="P36" si="16">O36*0.75/100</f>
        <v>0</v>
      </c>
      <c r="Q36" s="32">
        <f t="shared" ref="Q36" si="17">ROUND(O36-P36,0)</f>
        <v>0</v>
      </c>
      <c r="R36" s="10">
        <f t="shared" si="9"/>
        <v>0</v>
      </c>
      <c r="S36" s="10">
        <f t="shared" ref="S36" si="18">SUM(R36:R36)</f>
        <v>0</v>
      </c>
      <c r="T36" s="10">
        <f t="shared" ref="T36" si="19">S36+O36</f>
        <v>0</v>
      </c>
      <c r="U36" s="10">
        <f t="shared" ref="U36" si="20">ROUND(T36*18%,0)</f>
        <v>0</v>
      </c>
      <c r="V36" s="32">
        <f t="shared" ref="V36" si="21">T36+U36</f>
        <v>0</v>
      </c>
      <c r="X36" s="76"/>
    </row>
    <row r="37" spans="1:44" x14ac:dyDescent="0.2">
      <c r="A37" s="6">
        <v>32</v>
      </c>
      <c r="B37" s="7">
        <v>3562018486</v>
      </c>
      <c r="C37" s="4"/>
      <c r="D37" s="60" t="s">
        <v>253</v>
      </c>
      <c r="E37" s="62" t="s">
        <v>254</v>
      </c>
      <c r="F37" s="70">
        <v>43448</v>
      </c>
      <c r="G37" s="5" t="s">
        <v>66</v>
      </c>
      <c r="H37" s="3"/>
      <c r="I37" s="30">
        <v>26</v>
      </c>
      <c r="J37" s="30">
        <v>5.22</v>
      </c>
      <c r="K37" s="30">
        <v>0</v>
      </c>
      <c r="L37" s="30">
        <f t="shared" si="4"/>
        <v>5.22</v>
      </c>
      <c r="M37" s="21">
        <v>19279</v>
      </c>
      <c r="N37" s="31">
        <f t="shared" si="5"/>
        <v>185</v>
      </c>
      <c r="O37" s="31">
        <f t="shared" si="6"/>
        <v>966</v>
      </c>
      <c r="P37" s="31">
        <f t="shared" ref="P37" si="22">O37*0.75/100</f>
        <v>7.2450000000000001</v>
      </c>
      <c r="Q37" s="32">
        <f t="shared" ref="Q37" si="23">ROUND(O37-P37,0)</f>
        <v>959</v>
      </c>
      <c r="R37" s="10">
        <f>ROUNDUP(O37*3.25/100,0)</f>
        <v>32</v>
      </c>
      <c r="S37" s="10">
        <f t="shared" ref="S37" si="24">SUM(R37:R37)</f>
        <v>32</v>
      </c>
      <c r="T37" s="10">
        <f t="shared" ref="T37" si="25">S37+O37</f>
        <v>998</v>
      </c>
      <c r="U37" s="10">
        <f t="shared" ref="U37" si="26">ROUND(T37*18%,0)</f>
        <v>180</v>
      </c>
      <c r="V37" s="32">
        <f t="shared" ref="V37" si="27">T37+U37</f>
        <v>1178</v>
      </c>
      <c r="X37" s="76"/>
    </row>
    <row r="38" spans="1:44" x14ac:dyDescent="0.2">
      <c r="A38" s="6">
        <v>33</v>
      </c>
      <c r="B38" s="16">
        <v>3562043319</v>
      </c>
      <c r="D38" t="s">
        <v>257</v>
      </c>
      <c r="E38" t="s">
        <v>258</v>
      </c>
      <c r="F38" t="s">
        <v>126</v>
      </c>
      <c r="G38" t="s">
        <v>66</v>
      </c>
      <c r="I38" s="30">
        <v>26</v>
      </c>
      <c r="J38" s="30">
        <v>0</v>
      </c>
      <c r="K38" s="30">
        <v>0</v>
      </c>
      <c r="L38" s="30">
        <f t="shared" si="4"/>
        <v>0</v>
      </c>
      <c r="M38" s="21">
        <v>19279</v>
      </c>
      <c r="N38" s="31">
        <f t="shared" si="5"/>
        <v>185</v>
      </c>
      <c r="O38" s="31">
        <f t="shared" si="6"/>
        <v>0</v>
      </c>
      <c r="P38" s="31">
        <f t="shared" ref="P38" si="28">O38*0.75/100</f>
        <v>0</v>
      </c>
      <c r="Q38" s="32">
        <f t="shared" ref="Q38" si="29">ROUND(O38-P38,0)</f>
        <v>0</v>
      </c>
      <c r="R38" s="10">
        <f t="shared" si="9"/>
        <v>0</v>
      </c>
      <c r="S38" s="10">
        <f t="shared" ref="S38" si="30">SUM(R38:R38)</f>
        <v>0</v>
      </c>
      <c r="T38" s="10">
        <f t="shared" ref="T38" si="31">S38+O38</f>
        <v>0</v>
      </c>
      <c r="U38" s="10">
        <f t="shared" ref="U38" si="32">ROUND(T38*18%,0)</f>
        <v>0</v>
      </c>
      <c r="V38" s="32">
        <f t="shared" ref="V38" si="33">T38+U38</f>
        <v>0</v>
      </c>
      <c r="X38" s="7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</row>
    <row r="39" spans="1:44" x14ac:dyDescent="0.2">
      <c r="J39" s="75">
        <f>SUM(J6:J38)</f>
        <v>146.61000000000004</v>
      </c>
      <c r="K39" s="65">
        <f>SUM(K6:K38)</f>
        <v>0</v>
      </c>
      <c r="L39" s="65">
        <f t="shared" ref="L39:V39" si="34">SUM(L6:L38)</f>
        <v>146.61000000000004</v>
      </c>
      <c r="M39" s="65">
        <f t="shared" si="34"/>
        <v>611217</v>
      </c>
      <c r="N39" s="72">
        <f t="shared" si="34"/>
        <v>5867</v>
      </c>
      <c r="O39" s="72">
        <f t="shared" si="34"/>
        <v>26402</v>
      </c>
      <c r="P39" s="72">
        <f t="shared" si="34"/>
        <v>171.45750000000001</v>
      </c>
      <c r="Q39" s="65">
        <f t="shared" si="34"/>
        <v>26229</v>
      </c>
      <c r="R39" s="72">
        <f t="shared" si="34"/>
        <v>755</v>
      </c>
      <c r="S39" s="72">
        <f t="shared" si="34"/>
        <v>755</v>
      </c>
      <c r="T39" s="65">
        <f t="shared" si="34"/>
        <v>27157</v>
      </c>
      <c r="U39" s="65">
        <f t="shared" si="34"/>
        <v>4889</v>
      </c>
      <c r="V39" s="72">
        <f t="shared" si="34"/>
        <v>32046</v>
      </c>
    </row>
    <row r="40" spans="1:44" x14ac:dyDescent="0.2">
      <c r="J40">
        <v>146.61000000000001</v>
      </c>
      <c r="O40">
        <v>26401</v>
      </c>
      <c r="R40">
        <v>755</v>
      </c>
    </row>
    <row r="41" spans="1:44" x14ac:dyDescent="0.2">
      <c r="J41" s="77">
        <f>+J39-J40</f>
        <v>0</v>
      </c>
      <c r="O41" s="76">
        <f>+O39-O40</f>
        <v>1</v>
      </c>
      <c r="R41" s="76">
        <f>+R39-R40</f>
        <v>0</v>
      </c>
    </row>
  </sheetData>
  <autoFilter ref="A5:AR41"/>
  <mergeCells count="5">
    <mergeCell ref="A4:H4"/>
    <mergeCell ref="I4:L4"/>
    <mergeCell ref="M4:N4"/>
    <mergeCell ref="R4:T4"/>
    <mergeCell ref="U4:V4"/>
  </mergeCells>
  <conditionalFormatting sqref="B32">
    <cfRule type="duplicateValues" dxfId="36" priority="245"/>
  </conditionalFormatting>
  <conditionalFormatting sqref="B33">
    <cfRule type="duplicateValues" dxfId="35" priority="244"/>
  </conditionalFormatting>
  <conditionalFormatting sqref="D33">
    <cfRule type="duplicateValues" dxfId="34" priority="243"/>
  </conditionalFormatting>
  <conditionalFormatting sqref="B34">
    <cfRule type="duplicateValues" dxfId="33" priority="242"/>
  </conditionalFormatting>
  <conditionalFormatting sqref="B33:B34">
    <cfRule type="duplicateValues" dxfId="32" priority="241"/>
  </conditionalFormatting>
  <conditionalFormatting sqref="B35">
    <cfRule type="duplicateValues" dxfId="31" priority="240"/>
  </conditionalFormatting>
  <conditionalFormatting sqref="B31">
    <cfRule type="duplicateValues" dxfId="30" priority="126"/>
  </conditionalFormatting>
  <conditionalFormatting sqref="D32">
    <cfRule type="duplicateValues" dxfId="29" priority="124"/>
  </conditionalFormatting>
  <conditionalFormatting sqref="B32:B33">
    <cfRule type="duplicateValues" dxfId="28" priority="122"/>
  </conditionalFormatting>
  <conditionalFormatting sqref="B12">
    <cfRule type="duplicateValues" dxfId="27" priority="85"/>
  </conditionalFormatting>
  <conditionalFormatting sqref="B13">
    <cfRule type="duplicateValues" dxfId="26" priority="84"/>
  </conditionalFormatting>
  <conditionalFormatting sqref="D13">
    <cfRule type="duplicateValues" dxfId="25" priority="83"/>
  </conditionalFormatting>
  <conditionalFormatting sqref="B14">
    <cfRule type="duplicateValues" dxfId="24" priority="82"/>
  </conditionalFormatting>
  <conditionalFormatting sqref="B13:B14">
    <cfRule type="duplicateValues" dxfId="23" priority="81"/>
  </conditionalFormatting>
  <conditionalFormatting sqref="B15">
    <cfRule type="duplicateValues" dxfId="22" priority="80"/>
  </conditionalFormatting>
  <conditionalFormatting sqref="D35">
    <cfRule type="duplicateValues" dxfId="21" priority="403"/>
  </conditionalFormatting>
  <conditionalFormatting sqref="B11">
    <cfRule type="duplicateValues" dxfId="20" priority="59"/>
  </conditionalFormatting>
  <conditionalFormatting sqref="B14:B15">
    <cfRule type="duplicateValues" dxfId="19" priority="53"/>
  </conditionalFormatting>
  <conditionalFormatting sqref="D13:D15">
    <cfRule type="duplicateValues" dxfId="18" priority="52"/>
  </conditionalFormatting>
  <conditionalFormatting sqref="B16">
    <cfRule type="duplicateValues" dxfId="17" priority="468"/>
  </conditionalFormatting>
  <conditionalFormatting sqref="D15:D16">
    <cfRule type="duplicateValues" dxfId="16" priority="469"/>
  </conditionalFormatting>
  <conditionalFormatting sqref="D34:D35">
    <cfRule type="duplicateValues" dxfId="15" priority="488"/>
  </conditionalFormatting>
  <conditionalFormatting sqref="B20:B35">
    <cfRule type="duplicateValues" dxfId="14" priority="512"/>
  </conditionalFormatting>
  <conditionalFormatting sqref="B34:B35">
    <cfRule type="duplicateValues" dxfId="13" priority="516"/>
  </conditionalFormatting>
  <conditionalFormatting sqref="B18:B35">
    <cfRule type="duplicateValues" dxfId="12" priority="538"/>
  </conditionalFormatting>
  <conditionalFormatting sqref="B19:B35">
    <cfRule type="duplicateValues" dxfId="11" priority="540"/>
  </conditionalFormatting>
  <conditionalFormatting sqref="D19:D35">
    <cfRule type="duplicateValues" dxfId="10" priority="542"/>
  </conditionalFormatting>
  <conditionalFormatting sqref="D18:D35">
    <cfRule type="duplicateValues" dxfId="9" priority="544"/>
  </conditionalFormatting>
  <conditionalFormatting sqref="D17:D35">
    <cfRule type="duplicateValues" dxfId="8" priority="562"/>
  </conditionalFormatting>
  <conditionalFormatting sqref="B13:B35">
    <cfRule type="duplicateValues" dxfId="7" priority="564"/>
  </conditionalFormatting>
  <conditionalFormatting sqref="B15:B35">
    <cfRule type="duplicateValues" dxfId="6" priority="566"/>
  </conditionalFormatting>
  <conditionalFormatting sqref="D36:D37">
    <cfRule type="duplicateValues" dxfId="5" priority="568"/>
  </conditionalFormatting>
  <conditionalFormatting sqref="B36:B37">
    <cfRule type="duplicateValues" dxfId="4" priority="570"/>
  </conditionalFormatting>
  <conditionalFormatting sqref="D35:D37">
    <cfRule type="duplicateValues" dxfId="3" priority="572"/>
  </conditionalFormatting>
  <conditionalFormatting sqref="D18:D37">
    <cfRule type="duplicateValues" dxfId="2" priority="574"/>
  </conditionalFormatting>
  <conditionalFormatting sqref="D17:D37">
    <cfRule type="duplicateValues" dxfId="1" priority="576"/>
  </conditionalFormatting>
  <printOptions horizontalCentered="1"/>
  <pageMargins left="0" right="0" top="0.5" bottom="0.5" header="0.3" footer="0.3"/>
  <pageSetup paperSize="9" scale="73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10"/>
  <sheetViews>
    <sheetView workbookViewId="0">
      <pane xSplit="7" ySplit="5" topLeftCell="Y6" activePane="bottomRight" state="frozen"/>
      <selection pane="topRight"/>
      <selection pane="bottomLeft"/>
      <selection pane="bottomRight" activeCell="B17" sqref="B17"/>
    </sheetView>
  </sheetViews>
  <sheetFormatPr defaultColWidth="9.140625" defaultRowHeight="12.75" x14ac:dyDescent="0.2"/>
  <cols>
    <col min="1" max="1" width="9.42578125" style="14" customWidth="1"/>
    <col min="2" max="2" width="19.85546875" style="14" bestFit="1" customWidth="1"/>
    <col min="3" max="3" width="12.140625" style="15" hidden="1" customWidth="1"/>
    <col min="4" max="4" width="20.5703125" style="15" bestFit="1" customWidth="1"/>
    <col min="5" max="5" width="24.85546875" style="15" customWidth="1"/>
    <col min="6" max="6" width="10.42578125" style="15" customWidth="1"/>
    <col min="7" max="7" width="13" style="15" customWidth="1"/>
    <col min="8" max="8" width="11.7109375" style="15" hidden="1" customWidth="1"/>
    <col min="9" max="9" width="13.140625" style="15" customWidth="1"/>
    <col min="10" max="10" width="11" style="15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2.5703125" style="15" customWidth="1"/>
    <col min="17" max="17" width="10.85546875" style="15" customWidth="1"/>
    <col min="18" max="18" width="12.140625" style="15" hidden="1" customWidth="1"/>
    <col min="19" max="19" width="10.85546875" style="15" hidden="1" customWidth="1"/>
    <col min="20" max="20" width="10.85546875" style="15" customWidth="1"/>
    <col min="21" max="21" width="12" style="15" customWidth="1"/>
    <col min="22" max="22" width="10.85546875" style="15" customWidth="1"/>
    <col min="23" max="23" width="12" style="15" hidden="1" customWidth="1"/>
    <col min="24" max="24" width="10.85546875" style="15" hidden="1" customWidth="1"/>
    <col min="25" max="25" width="9.28515625" style="15" customWidth="1"/>
    <col min="26" max="26" width="10.85546875" style="15" hidden="1" customWidth="1"/>
    <col min="27" max="27" width="10.42578125" style="15" customWidth="1"/>
    <col min="28" max="28" width="9" style="15" customWidth="1"/>
    <col min="29" max="29" width="8.5703125" style="15" customWidth="1"/>
    <col min="30" max="30" width="10.140625" style="15" customWidth="1"/>
    <col min="31" max="31" width="7.42578125" style="15" customWidth="1"/>
    <col min="32" max="32" width="9.5703125" style="15" customWidth="1"/>
    <col min="33" max="33" width="8.42578125" style="15" customWidth="1"/>
    <col min="34" max="34" width="9.140625" style="15" customWidth="1"/>
    <col min="35" max="35" width="7" style="15" customWidth="1"/>
    <col min="36" max="36" width="8" style="15" customWidth="1"/>
    <col min="37" max="37" width="13" style="15" hidden="1" customWidth="1"/>
    <col min="38" max="38" width="13" style="15" customWidth="1"/>
    <col min="39" max="39" width="9" style="15" customWidth="1"/>
    <col min="40" max="40" width="9.85546875" style="15" customWidth="1"/>
    <col min="41" max="41" width="8.42578125" style="15" customWidth="1"/>
    <col min="42" max="42" width="9" style="15" customWidth="1"/>
    <col min="43" max="43" width="7.85546875" style="15" customWidth="1"/>
    <col min="44" max="44" width="10" style="15" customWidth="1"/>
    <col min="45" max="45" width="11" style="15" hidden="1" customWidth="1"/>
    <col min="46" max="46" width="14.5703125" style="15" hidden="1" customWidth="1"/>
    <col min="47" max="47" width="13.28515625" style="15" hidden="1" customWidth="1"/>
    <col min="48" max="48" width="16.7109375" style="15" hidden="1" customWidth="1"/>
    <col min="49" max="49" width="19.7109375" style="15" hidden="1" customWidth="1"/>
    <col min="50" max="52" width="9.140625" style="15" hidden="1" customWidth="1"/>
    <col min="53" max="53" width="0" style="15" hidden="1" customWidth="1"/>
    <col min="54" max="16384" width="9.140625" style="15"/>
  </cols>
  <sheetData>
    <row r="1" spans="1:52" x14ac:dyDescent="0.2">
      <c r="A1" s="13" t="s">
        <v>0</v>
      </c>
      <c r="B1" s="13" t="s">
        <v>1</v>
      </c>
      <c r="F1" s="17" t="s">
        <v>2</v>
      </c>
      <c r="G1" s="14">
        <v>0</v>
      </c>
      <c r="O1" s="14"/>
    </row>
    <row r="2" spans="1:52" x14ac:dyDescent="0.2">
      <c r="A2" s="18" t="s">
        <v>3</v>
      </c>
      <c r="B2" s="19">
        <v>44256</v>
      </c>
      <c r="F2" s="17" t="s">
        <v>4</v>
      </c>
      <c r="G2" s="14">
        <v>31</v>
      </c>
      <c r="O2" s="14"/>
    </row>
    <row r="3" spans="1:52" x14ac:dyDescent="0.2">
      <c r="A3" s="18" t="s">
        <v>5</v>
      </c>
      <c r="B3" s="14" t="s">
        <v>6</v>
      </c>
      <c r="F3" s="17" t="s">
        <v>7</v>
      </c>
      <c r="G3" s="15" t="s">
        <v>8</v>
      </c>
      <c r="O3" s="14"/>
    </row>
    <row r="4" spans="1:52" x14ac:dyDescent="0.2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20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84"/>
      <c r="AP4" s="78" t="s">
        <v>16</v>
      </c>
      <c r="AQ4" s="78"/>
      <c r="AR4" s="78"/>
    </row>
    <row r="5" spans="1:52" s="12" customFormat="1" ht="89.25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45</v>
      </c>
      <c r="AD5" s="1" t="s">
        <v>46</v>
      </c>
      <c r="AE5" s="1" t="s">
        <v>47</v>
      </c>
      <c r="AF5" s="1" t="s">
        <v>48</v>
      </c>
      <c r="AG5" s="1" t="s">
        <v>49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107</v>
      </c>
      <c r="AM5" s="1" t="s">
        <v>54</v>
      </c>
      <c r="AN5" s="1" t="s">
        <v>55</v>
      </c>
      <c r="AO5" s="1" t="s">
        <v>56</v>
      </c>
      <c r="AP5" s="1" t="s">
        <v>57</v>
      </c>
      <c r="AQ5" s="1" t="s">
        <v>58</v>
      </c>
      <c r="AR5" s="1" t="s">
        <v>59</v>
      </c>
      <c r="AS5" s="1" t="s">
        <v>60</v>
      </c>
      <c r="AT5" s="1" t="s">
        <v>61</v>
      </c>
      <c r="AU5" s="1" t="s">
        <v>62</v>
      </c>
      <c r="AV5" s="1" t="s">
        <v>63</v>
      </c>
      <c r="AW5" s="1" t="s">
        <v>64</v>
      </c>
      <c r="AX5" s="1"/>
      <c r="AY5" s="1"/>
      <c r="AZ5" s="33" t="s">
        <v>65</v>
      </c>
    </row>
    <row r="6" spans="1:52" ht="15.75" x14ac:dyDescent="0.25">
      <c r="A6" s="6">
        <v>1</v>
      </c>
      <c r="B6" s="7" t="s">
        <v>117</v>
      </c>
      <c r="C6" s="6"/>
      <c r="D6" s="4" t="s">
        <v>108</v>
      </c>
      <c r="E6" s="4" t="s">
        <v>109</v>
      </c>
      <c r="F6" s="5">
        <v>44035</v>
      </c>
      <c r="G6" s="5" t="s">
        <v>112</v>
      </c>
      <c r="H6" s="5"/>
      <c r="I6" s="35" t="s">
        <v>113</v>
      </c>
      <c r="J6" s="7" t="s">
        <v>114</v>
      </c>
      <c r="K6" s="6">
        <v>27</v>
      </c>
      <c r="L6" s="6">
        <v>27</v>
      </c>
      <c r="M6" s="6">
        <v>0</v>
      </c>
      <c r="N6" s="6">
        <v>0</v>
      </c>
      <c r="O6" s="6">
        <f t="shared" ref="O6:O7" si="0">SUM(L6:N6)</f>
        <v>27</v>
      </c>
      <c r="P6" s="6">
        <v>17070</v>
      </c>
      <c r="Q6" s="6">
        <v>606</v>
      </c>
      <c r="R6" s="6"/>
      <c r="S6" s="6"/>
      <c r="T6" s="6">
        <f t="shared" ref="T6:T8" si="1">ROUND(SUM(P6:S6),0)</f>
        <v>17676</v>
      </c>
      <c r="U6" s="6">
        <f t="shared" ref="U6:X8" si="2">ROUND(P6/$K6*$O6,0)</f>
        <v>17070</v>
      </c>
      <c r="V6" s="6">
        <f t="shared" si="2"/>
        <v>606</v>
      </c>
      <c r="W6" s="6">
        <f t="shared" si="2"/>
        <v>0</v>
      </c>
      <c r="X6" s="6">
        <f t="shared" si="2"/>
        <v>0</v>
      </c>
      <c r="Y6" s="6">
        <f t="shared" ref="Y6:Y7" si="3">ROUND(SUM(U6:X6),0)</f>
        <v>17676</v>
      </c>
      <c r="Z6" s="6"/>
      <c r="AA6" s="6">
        <f t="shared" ref="AA6:AA8" si="4">ROUND(Y6*5.76%,0)</f>
        <v>1018</v>
      </c>
      <c r="AB6" s="4">
        <f t="shared" ref="AB6:AB8" si="5">Y6+AA6+Z6</f>
        <v>18694</v>
      </c>
      <c r="AC6" s="4">
        <f t="shared" ref="AC6:AC8" si="6">ROUNDUP(IF(T6&gt;21000,0,AB6*0.75%),0)</f>
        <v>141</v>
      </c>
      <c r="AD6" s="24">
        <f t="shared" ref="AD6:AD8" si="7">ROUND(AB6-V6-Z6,)*12%</f>
        <v>2170.56</v>
      </c>
      <c r="AE6" s="4">
        <v>1</v>
      </c>
      <c r="AF6" s="4">
        <f t="shared" ref="AF6:AF8" si="8">ROUND((AB6+AK6)-(AC6+AD6+AE6),0)</f>
        <v>16381</v>
      </c>
      <c r="AG6" s="4">
        <f t="shared" ref="AG6:AG8" si="9">ROUNDUP(AB6*3.25%,0)</f>
        <v>608</v>
      </c>
      <c r="AH6" s="24">
        <f t="shared" ref="AH6:AH8" si="10">ROUND(AB6-V6-Z6,0)*13%</f>
        <v>2351.44</v>
      </c>
      <c r="AI6" s="6">
        <v>2</v>
      </c>
      <c r="AJ6" s="4">
        <f t="shared" ref="AJ6:AJ8" si="11">ROUND(183/K6*O6,0)</f>
        <v>183</v>
      </c>
      <c r="AK6" s="6"/>
      <c r="AL6" s="6"/>
      <c r="AM6" s="24">
        <f t="shared" ref="AM6:AM8" si="12">SUM(AG6:AL6)</f>
        <v>3144.44</v>
      </c>
      <c r="AN6" s="24">
        <f t="shared" ref="AN6:AN8" si="13">AB6+AM6</f>
        <v>21838.44</v>
      </c>
      <c r="AO6" s="24">
        <f t="shared" ref="AO6:AO8" si="14">ROUND(600/K6*O6,0)</f>
        <v>600</v>
      </c>
      <c r="AP6" s="24">
        <f t="shared" ref="AP6:AP8" si="15">AN6+AO6</f>
        <v>22438.44</v>
      </c>
      <c r="AQ6" s="24">
        <f t="shared" ref="AQ6:AQ8" si="16">ROUND(AP6*18%,0)</f>
        <v>4039</v>
      </c>
      <c r="AR6" s="25">
        <f t="shared" ref="AR6:AR8" si="17">AP6+AQ6</f>
        <v>26477.439999999999</v>
      </c>
      <c r="AS6" s="23"/>
      <c r="AU6"/>
    </row>
    <row r="7" spans="1:52" ht="15.75" x14ac:dyDescent="0.25">
      <c r="A7" s="6">
        <v>2</v>
      </c>
      <c r="B7" s="7" t="s">
        <v>118</v>
      </c>
      <c r="C7" s="6"/>
      <c r="D7" s="4" t="s">
        <v>110</v>
      </c>
      <c r="E7" s="4" t="s">
        <v>111</v>
      </c>
      <c r="F7" s="5">
        <v>44056</v>
      </c>
      <c r="G7" s="5" t="s">
        <v>112</v>
      </c>
      <c r="H7" s="5"/>
      <c r="I7" s="35" t="s">
        <v>115</v>
      </c>
      <c r="J7" s="7" t="s">
        <v>116</v>
      </c>
      <c r="K7" s="6">
        <v>27</v>
      </c>
      <c r="L7" s="6">
        <v>27</v>
      </c>
      <c r="M7" s="6">
        <v>0</v>
      </c>
      <c r="N7" s="6">
        <v>0</v>
      </c>
      <c r="O7" s="6">
        <f t="shared" si="0"/>
        <v>27</v>
      </c>
      <c r="P7" s="6">
        <v>17070</v>
      </c>
      <c r="Q7" s="6">
        <v>605</v>
      </c>
      <c r="R7" s="6"/>
      <c r="S7" s="6"/>
      <c r="T7" s="6">
        <f t="shared" si="1"/>
        <v>17675</v>
      </c>
      <c r="U7" s="6">
        <f t="shared" si="2"/>
        <v>17070</v>
      </c>
      <c r="V7" s="6">
        <f t="shared" si="2"/>
        <v>605</v>
      </c>
      <c r="W7" s="6">
        <f t="shared" si="2"/>
        <v>0</v>
      </c>
      <c r="X7" s="6">
        <f t="shared" si="2"/>
        <v>0</v>
      </c>
      <c r="Y7" s="6">
        <f t="shared" si="3"/>
        <v>17675</v>
      </c>
      <c r="Z7" s="6"/>
      <c r="AA7" s="6">
        <f t="shared" si="4"/>
        <v>1018</v>
      </c>
      <c r="AB7" s="4">
        <f t="shared" si="5"/>
        <v>18693</v>
      </c>
      <c r="AC7" s="4">
        <f t="shared" si="6"/>
        <v>141</v>
      </c>
      <c r="AD7" s="24">
        <f t="shared" si="7"/>
        <v>2170.56</v>
      </c>
      <c r="AE7" s="4">
        <v>1</v>
      </c>
      <c r="AF7" s="4">
        <f t="shared" si="8"/>
        <v>16380</v>
      </c>
      <c r="AG7" s="4">
        <f t="shared" si="9"/>
        <v>608</v>
      </c>
      <c r="AH7" s="24">
        <f t="shared" si="10"/>
        <v>2351.44</v>
      </c>
      <c r="AI7" s="6">
        <v>2</v>
      </c>
      <c r="AJ7" s="4">
        <f t="shared" si="11"/>
        <v>183</v>
      </c>
      <c r="AK7" s="6"/>
      <c r="AL7" s="6"/>
      <c r="AM7" s="24">
        <f t="shared" si="12"/>
        <v>3144.44</v>
      </c>
      <c r="AN7" s="24">
        <f t="shared" si="13"/>
        <v>21837.439999999999</v>
      </c>
      <c r="AO7" s="24">
        <f t="shared" si="14"/>
        <v>600</v>
      </c>
      <c r="AP7" s="24">
        <f t="shared" si="15"/>
        <v>22437.439999999999</v>
      </c>
      <c r="AQ7" s="24">
        <f t="shared" si="16"/>
        <v>4039</v>
      </c>
      <c r="AR7" s="25">
        <f t="shared" si="17"/>
        <v>26476.44</v>
      </c>
      <c r="AS7" s="23"/>
      <c r="AU7"/>
    </row>
    <row r="8" spans="1:52" x14ac:dyDescent="0.2">
      <c r="A8" s="6">
        <v>3</v>
      </c>
      <c r="B8" s="7" t="s">
        <v>144</v>
      </c>
      <c r="C8" s="6"/>
      <c r="D8" s="4" t="s">
        <v>145</v>
      </c>
      <c r="E8" s="4" t="s">
        <v>146</v>
      </c>
      <c r="F8" s="5">
        <v>44256</v>
      </c>
      <c r="G8" s="5" t="s">
        <v>127</v>
      </c>
      <c r="H8" s="5"/>
      <c r="I8" s="35"/>
      <c r="J8" s="7"/>
      <c r="K8" s="6">
        <v>27</v>
      </c>
      <c r="L8" s="6">
        <v>27</v>
      </c>
      <c r="M8" s="6">
        <v>0</v>
      </c>
      <c r="N8" s="6">
        <v>0</v>
      </c>
      <c r="O8" s="6">
        <f t="shared" ref="O8" si="18">SUM(L8:N8)</f>
        <v>27</v>
      </c>
      <c r="P8" s="6">
        <v>15492</v>
      </c>
      <c r="Q8" s="6">
        <v>0</v>
      </c>
      <c r="R8" s="6"/>
      <c r="S8" s="6"/>
      <c r="T8" s="6">
        <f t="shared" si="1"/>
        <v>15492</v>
      </c>
      <c r="U8" s="6">
        <f t="shared" si="2"/>
        <v>15492</v>
      </c>
      <c r="V8" s="6">
        <f t="shared" si="2"/>
        <v>0</v>
      </c>
      <c r="W8" s="6"/>
      <c r="X8" s="6"/>
      <c r="Y8" s="6">
        <f t="shared" ref="Y8" si="19">ROUND(SUM(U8:X8),0)</f>
        <v>15492</v>
      </c>
      <c r="Z8" s="6"/>
      <c r="AA8" s="6">
        <f t="shared" si="4"/>
        <v>892</v>
      </c>
      <c r="AB8" s="4">
        <f t="shared" si="5"/>
        <v>16384</v>
      </c>
      <c r="AC8" s="4">
        <f t="shared" si="6"/>
        <v>123</v>
      </c>
      <c r="AD8" s="24">
        <f t="shared" si="7"/>
        <v>1966.08</v>
      </c>
      <c r="AE8" s="4">
        <v>1</v>
      </c>
      <c r="AF8" s="4">
        <f t="shared" si="8"/>
        <v>14294</v>
      </c>
      <c r="AG8" s="4">
        <f t="shared" si="9"/>
        <v>533</v>
      </c>
      <c r="AH8" s="24">
        <f t="shared" si="10"/>
        <v>2129.92</v>
      </c>
      <c r="AI8" s="6">
        <v>2</v>
      </c>
      <c r="AJ8" s="4">
        <f t="shared" si="11"/>
        <v>183</v>
      </c>
      <c r="AK8" s="6"/>
      <c r="AL8" s="6"/>
      <c r="AM8" s="24">
        <f t="shared" si="12"/>
        <v>2847.92</v>
      </c>
      <c r="AN8" s="24">
        <f t="shared" si="13"/>
        <v>19231.919999999998</v>
      </c>
      <c r="AO8" s="24">
        <f t="shared" si="14"/>
        <v>600</v>
      </c>
      <c r="AP8" s="24">
        <f t="shared" si="15"/>
        <v>19831.919999999998</v>
      </c>
      <c r="AQ8" s="24">
        <f t="shared" si="16"/>
        <v>3570</v>
      </c>
      <c r="AR8" s="25">
        <f t="shared" si="17"/>
        <v>23401.919999999998</v>
      </c>
      <c r="AS8" s="23"/>
      <c r="AU8"/>
    </row>
    <row r="9" spans="1:52" x14ac:dyDescent="0.2">
      <c r="B9" s="40"/>
      <c r="C9" s="14"/>
      <c r="F9" s="41"/>
      <c r="G9" s="23"/>
      <c r="H9" s="23"/>
      <c r="I9" s="42"/>
      <c r="J9" s="43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D9" s="39"/>
      <c r="AH9" s="39"/>
      <c r="AI9" s="14"/>
      <c r="AK9" s="14"/>
      <c r="AL9" s="14"/>
      <c r="AM9" s="39"/>
      <c r="AN9" s="39"/>
      <c r="AO9" s="39"/>
      <c r="AP9" s="39"/>
      <c r="AQ9" s="39"/>
      <c r="AR9" s="44"/>
      <c r="AS9" s="23"/>
      <c r="AU9"/>
    </row>
    <row r="10" spans="1:52" x14ac:dyDescent="0.2">
      <c r="K10" s="15" t="s">
        <v>131</v>
      </c>
      <c r="L10" s="15">
        <f t="shared" ref="L10:AR10" si="20">SUM(L6:L8)</f>
        <v>81</v>
      </c>
      <c r="M10" s="39">
        <f t="shared" si="20"/>
        <v>0</v>
      </c>
      <c r="N10" s="39">
        <f t="shared" si="20"/>
        <v>0</v>
      </c>
      <c r="O10" s="39">
        <f t="shared" si="20"/>
        <v>81</v>
      </c>
      <c r="P10" s="39">
        <f t="shared" si="20"/>
        <v>49632</v>
      </c>
      <c r="Q10" s="39">
        <f t="shared" si="20"/>
        <v>1211</v>
      </c>
      <c r="R10" s="39">
        <f t="shared" si="20"/>
        <v>0</v>
      </c>
      <c r="S10" s="39">
        <f t="shared" si="20"/>
        <v>0</v>
      </c>
      <c r="T10" s="39">
        <f t="shared" si="20"/>
        <v>50843</v>
      </c>
      <c r="U10" s="39">
        <f t="shared" si="20"/>
        <v>49632</v>
      </c>
      <c r="V10" s="39">
        <f t="shared" si="20"/>
        <v>1211</v>
      </c>
      <c r="W10" s="39">
        <f t="shared" si="20"/>
        <v>0</v>
      </c>
      <c r="X10" s="39">
        <f t="shared" si="20"/>
        <v>0</v>
      </c>
      <c r="Y10" s="39">
        <f t="shared" si="20"/>
        <v>50843</v>
      </c>
      <c r="Z10" s="39">
        <f t="shared" si="20"/>
        <v>0</v>
      </c>
      <c r="AA10" s="39">
        <f t="shared" si="20"/>
        <v>2928</v>
      </c>
      <c r="AB10" s="39">
        <f t="shared" si="20"/>
        <v>53771</v>
      </c>
      <c r="AC10" s="39">
        <f t="shared" si="20"/>
        <v>405</v>
      </c>
      <c r="AD10" s="39">
        <f t="shared" si="20"/>
        <v>6307.2</v>
      </c>
      <c r="AE10" s="39">
        <f t="shared" si="20"/>
        <v>3</v>
      </c>
      <c r="AF10" s="39">
        <f t="shared" si="20"/>
        <v>47055</v>
      </c>
      <c r="AG10" s="39">
        <f t="shared" si="20"/>
        <v>1749</v>
      </c>
      <c r="AH10" s="39">
        <f t="shared" si="20"/>
        <v>6832.8</v>
      </c>
      <c r="AI10" s="39">
        <f t="shared" si="20"/>
        <v>6</v>
      </c>
      <c r="AJ10" s="39">
        <f t="shared" si="20"/>
        <v>549</v>
      </c>
      <c r="AK10" s="39">
        <f t="shared" si="20"/>
        <v>0</v>
      </c>
      <c r="AL10" s="39">
        <f t="shared" si="20"/>
        <v>0</v>
      </c>
      <c r="AM10" s="39">
        <f t="shared" si="20"/>
        <v>9136.7999999999993</v>
      </c>
      <c r="AN10" s="39">
        <f t="shared" si="20"/>
        <v>62907.799999999996</v>
      </c>
      <c r="AO10" s="39">
        <f t="shared" si="20"/>
        <v>1800</v>
      </c>
      <c r="AP10" s="39">
        <f t="shared" si="20"/>
        <v>64707.799999999996</v>
      </c>
      <c r="AQ10" s="39">
        <f t="shared" si="20"/>
        <v>11648</v>
      </c>
      <c r="AR10" s="39">
        <f t="shared" si="20"/>
        <v>76355.799999999988</v>
      </c>
    </row>
  </sheetData>
  <sheetProtection insertRows="0"/>
  <mergeCells count="7">
    <mergeCell ref="AP4:AR4"/>
    <mergeCell ref="A4:J4"/>
    <mergeCell ref="K4:O4"/>
    <mergeCell ref="P4:T4"/>
    <mergeCell ref="U4:AB4"/>
    <mergeCell ref="AC4:AE4"/>
    <mergeCell ref="AG4:AO4"/>
  </mergeCells>
  <conditionalFormatting sqref="B6:B9">
    <cfRule type="duplicateValues" dxfId="0" priority="10"/>
  </conditionalFormatting>
  <printOptions horizontalCentered="1"/>
  <pageMargins left="0" right="0" top="0.5" bottom="0.5" header="0.3" footer="0.3"/>
  <pageSetup paperSize="9" scale="4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8"/>
  <sheetViews>
    <sheetView workbookViewId="0">
      <pane xSplit="7" ySplit="5" topLeftCell="H6" activePane="bottomRight" state="frozen"/>
      <selection pane="topRight"/>
      <selection pane="bottomLeft"/>
      <selection pane="bottomRight" activeCell="B6" sqref="B6"/>
    </sheetView>
  </sheetViews>
  <sheetFormatPr defaultColWidth="9.140625" defaultRowHeight="12.75" x14ac:dyDescent="0.2"/>
  <cols>
    <col min="1" max="1" width="9.42578125" style="14" customWidth="1"/>
    <col min="2" max="2" width="15.5703125" style="14" customWidth="1"/>
    <col min="3" max="3" width="7.7109375" style="15" hidden="1" customWidth="1"/>
    <col min="4" max="4" width="9.7109375" style="15" customWidth="1"/>
    <col min="5" max="5" width="14.28515625" style="15" customWidth="1"/>
    <col min="6" max="6" width="10.42578125" style="15" customWidth="1"/>
    <col min="7" max="7" width="13" style="15" customWidth="1"/>
    <col min="8" max="8" width="11.7109375" style="15" customWidth="1"/>
    <col min="9" max="9" width="13.140625" style="15" hidden="1" customWidth="1"/>
    <col min="10" max="10" width="11" style="15" hidden="1" customWidth="1"/>
    <col min="11" max="11" width="8.5703125" style="15" customWidth="1"/>
    <col min="12" max="12" width="8.28515625" style="15" customWidth="1"/>
    <col min="13" max="13" width="7.7109375" style="15" customWidth="1"/>
    <col min="14" max="14" width="7.28515625" style="15" customWidth="1"/>
    <col min="15" max="15" width="9.5703125" style="16" customWidth="1"/>
    <col min="16" max="16" width="11.28515625" style="15" customWidth="1"/>
    <col min="17" max="17" width="5" style="15" customWidth="1"/>
    <col min="18" max="18" width="11.140625" style="15" customWidth="1"/>
    <col min="19" max="19" width="10.85546875" style="15" hidden="1" customWidth="1"/>
    <col min="20" max="20" width="10.85546875" style="15" customWidth="1"/>
    <col min="21" max="21" width="11.28515625" style="15" customWidth="1"/>
    <col min="22" max="22" width="5" style="15" customWidth="1"/>
    <col min="23" max="23" width="11.140625" style="15" customWidth="1"/>
    <col min="24" max="24" width="10.85546875" style="15" hidden="1" customWidth="1"/>
    <col min="25" max="25" width="10.85546875" style="15" customWidth="1"/>
    <col min="26" max="26" width="10.85546875" style="15" hidden="1" customWidth="1"/>
    <col min="27" max="27" width="12.42578125" style="15" customWidth="1"/>
    <col min="28" max="34" width="10.85546875" style="15" customWidth="1"/>
    <col min="35" max="35" width="10.85546875" style="15" hidden="1" customWidth="1"/>
    <col min="36" max="36" width="8" style="15" hidden="1" customWidth="1"/>
    <col min="37" max="37" width="13" style="15" hidden="1" customWidth="1"/>
    <col min="38" max="38" width="9" style="15" customWidth="1"/>
    <col min="39" max="39" width="10.85546875" style="15" customWidth="1"/>
    <col min="40" max="40" width="8" style="15" customWidth="1"/>
    <col min="41" max="41" width="10.85546875" style="15" customWidth="1"/>
    <col min="42" max="42" width="7.5703125" style="15" customWidth="1"/>
    <col min="43" max="43" width="7" style="15" customWidth="1"/>
    <col min="44" max="44" width="11" style="15" customWidth="1"/>
    <col min="45" max="45" width="14.5703125" style="15" customWidth="1"/>
    <col min="46" max="16384" width="9.140625" style="15"/>
  </cols>
  <sheetData>
    <row r="1" spans="1:45" x14ac:dyDescent="0.2">
      <c r="A1" s="13" t="s">
        <v>0</v>
      </c>
      <c r="B1" s="13" t="s">
        <v>1</v>
      </c>
      <c r="G1" s="17" t="s">
        <v>2</v>
      </c>
      <c r="H1" s="14">
        <v>0</v>
      </c>
      <c r="O1" s="14"/>
    </row>
    <row r="2" spans="1:45" x14ac:dyDescent="0.2">
      <c r="A2" s="18" t="s">
        <v>3</v>
      </c>
      <c r="B2" s="19">
        <v>43586</v>
      </c>
      <c r="G2" s="17" t="s">
        <v>4</v>
      </c>
      <c r="H2" s="14">
        <v>8</v>
      </c>
      <c r="O2" s="14"/>
    </row>
    <row r="3" spans="1:45" x14ac:dyDescent="0.2">
      <c r="A3" s="18" t="s">
        <v>5</v>
      </c>
      <c r="B3" s="14" t="s">
        <v>6</v>
      </c>
      <c r="G3" s="17" t="s">
        <v>7</v>
      </c>
      <c r="H3" s="15" t="s">
        <v>8</v>
      </c>
      <c r="O3" s="14"/>
    </row>
    <row r="4" spans="1:45" x14ac:dyDescent="0.2">
      <c r="A4" s="79" t="s">
        <v>9</v>
      </c>
      <c r="B4" s="79"/>
      <c r="C4" s="79"/>
      <c r="D4" s="79"/>
      <c r="E4" s="79"/>
      <c r="F4" s="79"/>
      <c r="G4" s="79"/>
      <c r="H4" s="79"/>
      <c r="I4" s="79"/>
      <c r="J4" s="79"/>
      <c r="K4" s="80" t="s">
        <v>10</v>
      </c>
      <c r="L4" s="80"/>
      <c r="M4" s="80"/>
      <c r="N4" s="80"/>
      <c r="O4" s="80"/>
      <c r="P4" s="81" t="s">
        <v>11</v>
      </c>
      <c r="Q4" s="81"/>
      <c r="R4" s="81"/>
      <c r="S4" s="81"/>
      <c r="T4" s="81"/>
      <c r="U4" s="82" t="s">
        <v>12</v>
      </c>
      <c r="V4" s="82"/>
      <c r="W4" s="82"/>
      <c r="X4" s="82"/>
      <c r="Y4" s="82"/>
      <c r="Z4" s="82"/>
      <c r="AA4" s="82"/>
      <c r="AB4" s="82"/>
      <c r="AC4" s="83" t="s">
        <v>13</v>
      </c>
      <c r="AD4" s="83"/>
      <c r="AE4" s="83"/>
      <c r="AF4" s="20" t="s">
        <v>14</v>
      </c>
      <c r="AG4" s="84" t="s">
        <v>15</v>
      </c>
      <c r="AH4" s="84"/>
      <c r="AI4" s="84"/>
      <c r="AJ4" s="84"/>
      <c r="AK4" s="84"/>
      <c r="AL4" s="84"/>
      <c r="AM4" s="84"/>
      <c r="AN4" s="84"/>
      <c r="AO4" s="78" t="s">
        <v>16</v>
      </c>
      <c r="AP4" s="78"/>
      <c r="AQ4" s="78"/>
    </row>
    <row r="5" spans="1:45" s="12" customFormat="1" ht="63.75" x14ac:dyDescent="0.2">
      <c r="A5" s="1" t="s">
        <v>17</v>
      </c>
      <c r="B5" s="1" t="s">
        <v>18</v>
      </c>
      <c r="C5" s="1" t="s">
        <v>19</v>
      </c>
      <c r="D5" s="1" t="s">
        <v>20</v>
      </c>
      <c r="E5" s="1" t="s">
        <v>21</v>
      </c>
      <c r="F5" s="1" t="s">
        <v>22</v>
      </c>
      <c r="G5" s="1" t="s">
        <v>23</v>
      </c>
      <c r="H5" s="1" t="s">
        <v>24</v>
      </c>
      <c r="I5" s="1" t="s">
        <v>25</v>
      </c>
      <c r="J5" s="1" t="s">
        <v>26</v>
      </c>
      <c r="K5" s="1" t="s">
        <v>27</v>
      </c>
      <c r="L5" s="1" t="s">
        <v>28</v>
      </c>
      <c r="M5" s="1" t="s">
        <v>29</v>
      </c>
      <c r="N5" s="1" t="s">
        <v>30</v>
      </c>
      <c r="O5" s="1" t="s">
        <v>31</v>
      </c>
      <c r="P5" s="1" t="s">
        <v>32</v>
      </c>
      <c r="Q5" s="1" t="s">
        <v>33</v>
      </c>
      <c r="R5" s="1" t="s">
        <v>34</v>
      </c>
      <c r="S5" s="1" t="s">
        <v>35</v>
      </c>
      <c r="T5" s="1" t="s">
        <v>36</v>
      </c>
      <c r="U5" s="1" t="s">
        <v>37</v>
      </c>
      <c r="V5" s="1" t="s">
        <v>38</v>
      </c>
      <c r="W5" s="1" t="s">
        <v>39</v>
      </c>
      <c r="X5" s="1" t="s">
        <v>40</v>
      </c>
      <c r="Y5" s="1" t="s">
        <v>41</v>
      </c>
      <c r="Z5" s="1" t="s">
        <v>42</v>
      </c>
      <c r="AA5" s="1" t="s">
        <v>43</v>
      </c>
      <c r="AB5" s="1" t="s">
        <v>44</v>
      </c>
      <c r="AC5" s="1" t="s">
        <v>95</v>
      </c>
      <c r="AD5" s="1" t="s">
        <v>46</v>
      </c>
      <c r="AE5" s="1" t="s">
        <v>47</v>
      </c>
      <c r="AF5" s="1" t="s">
        <v>48</v>
      </c>
      <c r="AG5" s="1" t="s">
        <v>96</v>
      </c>
      <c r="AH5" s="1" t="s">
        <v>50</v>
      </c>
      <c r="AI5" s="1" t="s">
        <v>51</v>
      </c>
      <c r="AJ5" s="1" t="s">
        <v>52</v>
      </c>
      <c r="AK5" s="1" t="s">
        <v>53</v>
      </c>
      <c r="AL5" s="1" t="s">
        <v>54</v>
      </c>
      <c r="AM5" s="1" t="s">
        <v>55</v>
      </c>
      <c r="AN5" s="1" t="s">
        <v>56</v>
      </c>
      <c r="AO5" s="1" t="s">
        <v>57</v>
      </c>
      <c r="AP5" s="1" t="s">
        <v>58</v>
      </c>
      <c r="AQ5" s="1" t="s">
        <v>59</v>
      </c>
      <c r="AR5" s="1" t="s">
        <v>60</v>
      </c>
      <c r="AS5" s="1" t="s">
        <v>61</v>
      </c>
    </row>
    <row r="6" spans="1:45" x14ac:dyDescent="0.2">
      <c r="A6" s="6">
        <v>1</v>
      </c>
      <c r="B6" s="6" t="s">
        <v>97</v>
      </c>
      <c r="C6" s="4">
        <v>4565</v>
      </c>
      <c r="D6" s="4" t="s">
        <v>77</v>
      </c>
      <c r="E6" s="4" t="s">
        <v>78</v>
      </c>
      <c r="F6" s="5">
        <v>43344</v>
      </c>
      <c r="G6" s="5" t="s">
        <v>79</v>
      </c>
      <c r="H6" s="5" t="s">
        <v>71</v>
      </c>
      <c r="I6" s="21" t="s">
        <v>80</v>
      </c>
      <c r="J6" s="6" t="s">
        <v>81</v>
      </c>
      <c r="K6" s="6">
        <v>27</v>
      </c>
      <c r="L6" s="6">
        <v>27</v>
      </c>
      <c r="M6" s="6"/>
      <c r="N6" s="6"/>
      <c r="O6" s="6">
        <f t="shared" ref="O6" si="0">SUM(L6:N6)</f>
        <v>27</v>
      </c>
      <c r="P6" s="6">
        <v>4292</v>
      </c>
      <c r="Q6" s="6">
        <v>0</v>
      </c>
      <c r="R6" s="6">
        <v>0</v>
      </c>
      <c r="S6" s="6">
        <v>0</v>
      </c>
      <c r="T6" s="6">
        <f t="shared" ref="T6" si="1">ROUND(SUM(P6:S6),0)</f>
        <v>4292</v>
      </c>
      <c r="U6" s="6">
        <f t="shared" ref="U6" si="2">ROUND(P6/$K6*$O6,0)</f>
        <v>4292</v>
      </c>
      <c r="V6" s="6">
        <f t="shared" ref="V6" si="3">ROUND(Q6/$K6*$O6,0)</f>
        <v>0</v>
      </c>
      <c r="W6" s="6">
        <f t="shared" ref="W6" si="4">ROUND(R6/$K6*$O6,0)</f>
        <v>0</v>
      </c>
      <c r="X6" s="6">
        <f t="shared" ref="X6" si="5">ROUND(S6/$K6*$O6,0)</f>
        <v>0</v>
      </c>
      <c r="Y6" s="6">
        <f t="shared" ref="Y6" si="6">ROUND(SUM(U6:X6),0)</f>
        <v>4292</v>
      </c>
      <c r="Z6" s="6"/>
      <c r="AA6" s="6">
        <f t="shared" ref="AA6" si="7">ROUND(Y6*5.76%,0)</f>
        <v>247</v>
      </c>
      <c r="AB6" s="4">
        <f t="shared" ref="AB6" si="8">Y6+AA6+Z6</f>
        <v>4539</v>
      </c>
      <c r="AC6" s="4">
        <f t="shared" ref="AC6" si="9">ROUNDUP(IF(T6&gt;21000,0,AB6*1.75%),0)</f>
        <v>80</v>
      </c>
      <c r="AD6" s="4">
        <f t="shared" ref="AD6" si="10">ROUND(U6*12%,0)</f>
        <v>515</v>
      </c>
      <c r="AE6" s="4">
        <v>1</v>
      </c>
      <c r="AF6" s="4">
        <f t="shared" ref="AF6" si="11">ROUND((AB6+AK6)-(AC6+AD6+AE6),0)</f>
        <v>3943</v>
      </c>
      <c r="AG6" s="4">
        <f t="shared" ref="AG6" si="12">ROUNDUP(AB6*4.75%,0)</f>
        <v>216</v>
      </c>
      <c r="AH6" s="4">
        <f t="shared" ref="AH6" si="13">ROUND(U6*13%,0)</f>
        <v>558</v>
      </c>
      <c r="AI6" s="6">
        <v>0</v>
      </c>
      <c r="AJ6" s="4">
        <v>0</v>
      </c>
      <c r="AK6" s="6"/>
      <c r="AL6" s="4">
        <f t="shared" ref="AL6" si="14">SUM(AG6:AK6)</f>
        <v>774</v>
      </c>
      <c r="AM6" s="4">
        <f t="shared" ref="AM6" si="15">AB6+AL6</f>
        <v>5313</v>
      </c>
      <c r="AN6" s="4">
        <v>0</v>
      </c>
      <c r="AO6" s="4">
        <f t="shared" ref="AO6" si="16">AM6+AN6</f>
        <v>5313</v>
      </c>
      <c r="AP6" s="4">
        <f t="shared" ref="AP6" si="17">ROUND(AO6*18%,0)</f>
        <v>956</v>
      </c>
      <c r="AQ6" s="4">
        <f t="shared" ref="AQ6" si="18">AO6+AP6</f>
        <v>6269</v>
      </c>
    </row>
    <row r="7" spans="1:45" x14ac:dyDescent="0.2">
      <c r="A7" s="6"/>
      <c r="B7" s="7"/>
      <c r="C7" s="4"/>
      <c r="D7" s="4"/>
      <c r="E7" s="4"/>
      <c r="F7" s="5"/>
      <c r="G7" s="5"/>
      <c r="H7" s="5"/>
      <c r="I7" s="21"/>
      <c r="J7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4"/>
      <c r="AC7" s="4"/>
      <c r="AD7" s="4"/>
      <c r="AE7" s="4"/>
      <c r="AF7" s="4"/>
      <c r="AG7" s="4"/>
      <c r="AH7" s="4"/>
      <c r="AI7" s="6"/>
      <c r="AJ7" s="4"/>
      <c r="AK7" s="6"/>
      <c r="AL7" s="4"/>
      <c r="AM7" s="4"/>
      <c r="AN7" s="4"/>
      <c r="AO7" s="4"/>
      <c r="AP7" s="4"/>
      <c r="AQ7" s="4"/>
      <c r="AR7" s="23"/>
    </row>
    <row r="8" spans="1:45" s="13" customFormat="1" x14ac:dyDescent="0.2">
      <c r="K8" s="22" t="s">
        <v>85</v>
      </c>
      <c r="L8" s="22">
        <f>SUM(L6)</f>
        <v>27</v>
      </c>
      <c r="M8" s="22">
        <f t="shared" ref="M8:AQ8" si="19">SUM(M6)</f>
        <v>0</v>
      </c>
      <c r="N8" s="22">
        <f t="shared" si="19"/>
        <v>0</v>
      </c>
      <c r="O8" s="22">
        <f t="shared" si="19"/>
        <v>27</v>
      </c>
      <c r="P8" s="22">
        <f t="shared" si="19"/>
        <v>4292</v>
      </c>
      <c r="Q8" s="22">
        <f t="shared" si="19"/>
        <v>0</v>
      </c>
      <c r="R8" s="22">
        <f t="shared" si="19"/>
        <v>0</v>
      </c>
      <c r="S8" s="22">
        <f t="shared" si="19"/>
        <v>0</v>
      </c>
      <c r="T8" s="22">
        <f t="shared" si="19"/>
        <v>4292</v>
      </c>
      <c r="U8" s="22">
        <f t="shared" si="19"/>
        <v>4292</v>
      </c>
      <c r="V8" s="22">
        <f t="shared" si="19"/>
        <v>0</v>
      </c>
      <c r="W8" s="22">
        <f t="shared" si="19"/>
        <v>0</v>
      </c>
      <c r="X8" s="22">
        <f t="shared" si="19"/>
        <v>0</v>
      </c>
      <c r="Y8" s="22">
        <f t="shared" si="19"/>
        <v>4292</v>
      </c>
      <c r="Z8" s="22">
        <f t="shared" si="19"/>
        <v>0</v>
      </c>
      <c r="AA8" s="22">
        <f t="shared" si="19"/>
        <v>247</v>
      </c>
      <c r="AB8" s="22">
        <f t="shared" si="19"/>
        <v>4539</v>
      </c>
      <c r="AC8" s="22">
        <f t="shared" si="19"/>
        <v>80</v>
      </c>
      <c r="AD8" s="22">
        <f t="shared" si="19"/>
        <v>515</v>
      </c>
      <c r="AE8" s="22">
        <f t="shared" si="19"/>
        <v>1</v>
      </c>
      <c r="AF8" s="22">
        <f t="shared" si="19"/>
        <v>3943</v>
      </c>
      <c r="AG8" s="22">
        <f t="shared" si="19"/>
        <v>216</v>
      </c>
      <c r="AH8" s="22">
        <f t="shared" si="19"/>
        <v>558</v>
      </c>
      <c r="AI8" s="22">
        <f t="shared" si="19"/>
        <v>0</v>
      </c>
      <c r="AJ8" s="22">
        <f t="shared" si="19"/>
        <v>0</v>
      </c>
      <c r="AK8" s="22">
        <f t="shared" si="19"/>
        <v>0</v>
      </c>
      <c r="AL8" s="22">
        <f t="shared" si="19"/>
        <v>774</v>
      </c>
      <c r="AM8" s="22">
        <f t="shared" si="19"/>
        <v>5313</v>
      </c>
      <c r="AN8" s="22">
        <f t="shared" si="19"/>
        <v>0</v>
      </c>
      <c r="AO8" s="22">
        <f t="shared" si="19"/>
        <v>5313</v>
      </c>
      <c r="AP8" s="22">
        <f t="shared" si="19"/>
        <v>956</v>
      </c>
      <c r="AQ8" s="22">
        <f t="shared" si="19"/>
        <v>6269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5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workbookViewId="0">
      <selection activeCell="E3" sqref="E3"/>
    </sheetView>
  </sheetViews>
  <sheetFormatPr defaultColWidth="9" defaultRowHeight="12.75" x14ac:dyDescent="0.2"/>
  <cols>
    <col min="1" max="1" width="5.5703125" customWidth="1"/>
    <col min="2" max="2" width="9" customWidth="1"/>
    <col min="3" max="3" width="7.7109375" customWidth="1"/>
    <col min="4" max="5" width="8.5703125" customWidth="1"/>
    <col min="6" max="6" width="10.42578125" customWidth="1"/>
  </cols>
  <sheetData>
    <row r="1" spans="1:7" ht="38.25" x14ac:dyDescent="0.2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</row>
    <row r="2" spans="1:7" x14ac:dyDescent="0.2">
      <c r="A2" s="6">
        <v>1</v>
      </c>
      <c r="B2" s="6"/>
      <c r="C2" s="4" t="s">
        <v>98</v>
      </c>
      <c r="D2" s="4" t="s">
        <v>99</v>
      </c>
      <c r="E2" s="4"/>
      <c r="F2" s="5">
        <v>43486</v>
      </c>
      <c r="G2" s="5" t="s">
        <v>79</v>
      </c>
    </row>
    <row r="3" spans="1:7" x14ac:dyDescent="0.2">
      <c r="A3" s="6">
        <v>2</v>
      </c>
      <c r="B3" s="6"/>
      <c r="C3" s="4"/>
      <c r="D3" s="4"/>
      <c r="E3" s="4"/>
      <c r="F3" s="5"/>
      <c r="G3" s="5"/>
    </row>
    <row r="4" spans="1:7" x14ac:dyDescent="0.2">
      <c r="A4" s="6">
        <v>3</v>
      </c>
      <c r="B4" s="6"/>
      <c r="C4" s="4"/>
      <c r="D4" s="4"/>
      <c r="E4" s="4"/>
      <c r="F4" s="5"/>
      <c r="G4" s="5"/>
    </row>
    <row r="5" spans="1:7" x14ac:dyDescent="0.2">
      <c r="A5" s="6">
        <v>4</v>
      </c>
      <c r="B5" s="6"/>
      <c r="C5" s="4"/>
      <c r="D5" s="4"/>
      <c r="E5" s="4"/>
      <c r="F5" s="5"/>
      <c r="G5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workbookViewId="0">
      <selection activeCell="H3" sqref="H3"/>
    </sheetView>
  </sheetViews>
  <sheetFormatPr defaultColWidth="9" defaultRowHeight="12.75" x14ac:dyDescent="0.2"/>
  <cols>
    <col min="2" max="2" width="13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</cols>
  <sheetData>
    <row r="1" spans="1:8" ht="25.5" x14ac:dyDescent="0.2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  <c r="H1" s="1" t="s">
        <v>100</v>
      </c>
    </row>
    <row r="2" spans="1:8" x14ac:dyDescent="0.2">
      <c r="A2" s="3">
        <v>1</v>
      </c>
      <c r="B2" s="10" t="s">
        <v>101</v>
      </c>
      <c r="C2" s="3">
        <v>4566</v>
      </c>
      <c r="D2" s="3" t="s">
        <v>102</v>
      </c>
      <c r="E2" s="3" t="s">
        <v>103</v>
      </c>
      <c r="F2" s="11">
        <v>43344</v>
      </c>
      <c r="G2" s="3" t="s">
        <v>79</v>
      </c>
      <c r="H2" s="11">
        <v>43444</v>
      </c>
    </row>
    <row r="3" spans="1:8" x14ac:dyDescent="0.2">
      <c r="A3" s="3">
        <v>2</v>
      </c>
      <c r="B3" s="10"/>
      <c r="C3" s="3"/>
      <c r="D3" s="3"/>
      <c r="E3" s="3"/>
      <c r="F3" s="11"/>
      <c r="G3" s="3"/>
      <c r="H3" s="11"/>
    </row>
    <row r="4" spans="1:8" x14ac:dyDescent="0.2">
      <c r="A4" s="3">
        <v>3</v>
      </c>
      <c r="B4" s="10"/>
      <c r="C4" s="3"/>
      <c r="D4" s="3"/>
      <c r="E4" s="3"/>
      <c r="F4" s="11"/>
      <c r="G4" s="3"/>
      <c r="H4" s="11"/>
    </row>
    <row r="5" spans="1:8" x14ac:dyDescent="0.2">
      <c r="A5" s="3">
        <v>4</v>
      </c>
      <c r="B5" s="10"/>
      <c r="C5" s="3"/>
      <c r="D5" s="3"/>
      <c r="E5" s="3"/>
      <c r="F5" s="11"/>
      <c r="G5" s="3"/>
      <c r="H5" s="1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workbookViewId="0">
      <selection activeCell="D11" sqref="D11"/>
    </sheetView>
  </sheetViews>
  <sheetFormatPr defaultColWidth="9" defaultRowHeight="12.75" x14ac:dyDescent="0.2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 x14ac:dyDescent="0.2">
      <c r="A1" t="s">
        <v>104</v>
      </c>
    </row>
    <row r="2" spans="1:9" ht="25.5" x14ac:dyDescent="0.2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G2" s="1" t="s">
        <v>23</v>
      </c>
      <c r="H2" s="1" t="s">
        <v>100</v>
      </c>
      <c r="I2" s="1" t="s">
        <v>105</v>
      </c>
    </row>
    <row r="3" spans="1:9" x14ac:dyDescent="0.2">
      <c r="A3" s="3">
        <v>1</v>
      </c>
      <c r="B3" s="10"/>
      <c r="C3" s="3"/>
      <c r="D3" s="3"/>
      <c r="E3" s="3"/>
      <c r="F3" s="11"/>
      <c r="G3" s="3"/>
      <c r="H3" s="11"/>
      <c r="I3" s="3"/>
    </row>
    <row r="4" spans="1:9" x14ac:dyDescent="0.2">
      <c r="A4" s="3">
        <v>2</v>
      </c>
      <c r="B4" s="10"/>
      <c r="C4" s="3"/>
      <c r="D4" s="3"/>
      <c r="E4" s="3"/>
      <c r="F4" s="11"/>
      <c r="G4" s="3"/>
      <c r="H4" s="11"/>
      <c r="I4" s="3"/>
    </row>
    <row r="5" spans="1:9" x14ac:dyDescent="0.2">
      <c r="A5" s="3">
        <v>3</v>
      </c>
      <c r="B5" s="10"/>
      <c r="C5" s="3"/>
      <c r="D5" s="3"/>
      <c r="E5" s="3"/>
      <c r="F5" s="11"/>
      <c r="G5" s="3"/>
      <c r="H5" s="11"/>
      <c r="I5" s="3"/>
    </row>
    <row r="6" spans="1:9" x14ac:dyDescent="0.2">
      <c r="A6" s="3">
        <v>4</v>
      </c>
      <c r="B6" s="10"/>
      <c r="C6" s="3"/>
      <c r="D6" s="3"/>
      <c r="E6" s="3"/>
      <c r="F6" s="11"/>
      <c r="G6" s="3"/>
      <c r="H6" s="11"/>
      <c r="I6" s="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"/>
  <sheetViews>
    <sheetView workbookViewId="0">
      <selection activeCell="K13" sqref="K13"/>
    </sheetView>
  </sheetViews>
  <sheetFormatPr defaultColWidth="9" defaultRowHeight="12.75" x14ac:dyDescent="0.2"/>
  <cols>
    <col min="1" max="1" width="11" customWidth="1"/>
    <col min="4" max="4" width="11" customWidth="1"/>
    <col min="5" max="5" width="10.42578125" customWidth="1"/>
  </cols>
  <sheetData>
    <row r="1" spans="1:12" ht="38.25" x14ac:dyDescent="0.2">
      <c r="A1" s="1" t="s">
        <v>18</v>
      </c>
      <c r="B1" s="1" t="s">
        <v>19</v>
      </c>
      <c r="C1" s="1" t="s">
        <v>20</v>
      </c>
      <c r="D1" s="1" t="s">
        <v>21</v>
      </c>
      <c r="E1" s="1" t="s">
        <v>22</v>
      </c>
      <c r="F1" s="1" t="s">
        <v>23</v>
      </c>
      <c r="G1" s="1" t="s">
        <v>24</v>
      </c>
      <c r="H1" s="1" t="s">
        <v>32</v>
      </c>
      <c r="I1" s="1" t="s">
        <v>33</v>
      </c>
      <c r="J1" s="1" t="s">
        <v>34</v>
      </c>
      <c r="K1" s="1" t="s">
        <v>35</v>
      </c>
      <c r="L1" s="1" t="s">
        <v>36</v>
      </c>
    </row>
    <row r="2" spans="1:12" x14ac:dyDescent="0.2">
      <c r="A2" s="7" t="s">
        <v>73</v>
      </c>
      <c r="B2" s="4">
        <v>6357</v>
      </c>
      <c r="C2" s="8" t="s">
        <v>74</v>
      </c>
      <c r="D2" s="9" t="s">
        <v>75</v>
      </c>
      <c r="E2" s="5">
        <v>43586</v>
      </c>
      <c r="F2" s="5" t="s">
        <v>66</v>
      </c>
      <c r="G2" s="5" t="s">
        <v>76</v>
      </c>
      <c r="H2" s="6">
        <v>15427</v>
      </c>
      <c r="I2" s="6">
        <v>311</v>
      </c>
      <c r="J2" s="6">
        <v>0</v>
      </c>
      <c r="K2" s="6">
        <v>0</v>
      </c>
      <c r="L2" s="6">
        <f>ROUND(SUM(H2:K2),0)</f>
        <v>15738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"/>
  <sheetViews>
    <sheetView workbookViewId="0">
      <selection activeCell="H8" sqref="H8"/>
    </sheetView>
  </sheetViews>
  <sheetFormatPr defaultColWidth="9" defaultRowHeight="12.75" x14ac:dyDescent="0.2"/>
  <cols>
    <col min="2" max="2" width="11.42578125" customWidth="1"/>
    <col min="6" max="6" width="10.42578125" customWidth="1"/>
  </cols>
  <sheetData>
    <row r="1" spans="1:11" ht="38.25" x14ac:dyDescent="0.2">
      <c r="A1" s="1" t="s">
        <v>17</v>
      </c>
      <c r="B1" s="1" t="s">
        <v>18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32</v>
      </c>
      <c r="H1" s="1" t="s">
        <v>33</v>
      </c>
      <c r="I1" s="1" t="s">
        <v>34</v>
      </c>
      <c r="J1" s="1" t="s">
        <v>35</v>
      </c>
      <c r="K1" s="1" t="s">
        <v>36</v>
      </c>
    </row>
    <row r="2" spans="1:11" x14ac:dyDescent="0.2">
      <c r="A2" s="2">
        <v>1</v>
      </c>
      <c r="B2" s="2" t="s">
        <v>82</v>
      </c>
      <c r="C2" s="3" t="s">
        <v>106</v>
      </c>
      <c r="D2" s="3" t="s">
        <v>83</v>
      </c>
      <c r="E2" s="4" t="s">
        <v>84</v>
      </c>
      <c r="F2" s="5">
        <v>43725</v>
      </c>
      <c r="G2" s="6">
        <v>14025</v>
      </c>
      <c r="H2" s="6">
        <v>0</v>
      </c>
      <c r="I2" s="6">
        <v>0</v>
      </c>
      <c r="J2" s="6">
        <v>0</v>
      </c>
      <c r="K2" s="6">
        <f t="shared" ref="K2" si="0">ROUND(SUM(G2:J2),0)</f>
        <v>14025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Wages</vt:lpstr>
      <vt:lpstr>OT</vt:lpstr>
      <vt:lpstr>Manual Wages </vt:lpstr>
      <vt:lpstr>Arrears</vt:lpstr>
      <vt:lpstr>New Joinees</vt:lpstr>
      <vt:lpstr>Exit Employees</vt:lpstr>
      <vt:lpstr>F&amp;F Status</vt:lpstr>
      <vt:lpstr>Sheet1</vt:lpstr>
      <vt:lpstr>Sheet2</vt:lpstr>
    </vt:vector>
  </TitlesOfParts>
  <Company>DHL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HP</cp:lastModifiedBy>
  <cp:lastPrinted>2023-07-08T11:31:49Z</cp:lastPrinted>
  <dcterms:created xsi:type="dcterms:W3CDTF">2019-01-14T09:42:00Z</dcterms:created>
  <dcterms:modified xsi:type="dcterms:W3CDTF">2023-11-07T12:44:13Z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