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735"/>
  </bookViews>
  <sheets>
    <sheet name="Wages" sheetId="18" r:id="rId1"/>
    <sheet name="OT" sheetId="2" r:id="rId2"/>
    <sheet name="Manual Wages" sheetId="19" r:id="rId3"/>
    <sheet name="Manual OT" sheetId="20" r:id="rId4"/>
    <sheet name="Manual Wages " sheetId="17" state="hidden" r:id="rId5"/>
    <sheet name="Arrears" sheetId="11" state="hidden" r:id="rId6"/>
    <sheet name="New Joinees" sheetId="4" state="hidden" r:id="rId7"/>
    <sheet name="Exit Employees" sheetId="5" state="hidden" r:id="rId8"/>
    <sheet name="F&amp;F Status" sheetId="6" state="hidden" r:id="rId9"/>
    <sheet name="Sheet1" sheetId="12" state="hidden" r:id="rId10"/>
    <sheet name="Sheet2" sheetId="14" state="hidden" r:id="rId11"/>
  </sheets>
  <definedNames>
    <definedName name="_xlnm._FilterDatabase" localSheetId="5" hidden="1">Arrears!$A$5:$AS$5</definedName>
    <definedName name="_xlnm._FilterDatabase" localSheetId="3" hidden="1">'Manual OT'!$A$5:$V$6</definedName>
    <definedName name="_xlnm._FilterDatabase" localSheetId="2" hidden="1">'Manual Wages'!$A$5:$AR$5</definedName>
    <definedName name="_xlnm._FilterDatabase" localSheetId="4" hidden="1">'Manual Wages '!$A$5:$BA$5</definedName>
    <definedName name="_xlnm._FilterDatabase" localSheetId="1" hidden="1">OT!$A$5:$V$41</definedName>
    <definedName name="_xlnm._FilterDatabase" localSheetId="0" hidden="1">Wages!$A$5:$AR$23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8" i="20"/>
  <c r="K8"/>
  <c r="J8"/>
  <c r="N6"/>
  <c r="N8" s="1"/>
  <c r="L6"/>
  <c r="L8" s="1"/>
  <c r="AL8" i="19"/>
  <c r="AK8"/>
  <c r="AI8"/>
  <c r="AE8"/>
  <c r="S8"/>
  <c r="R8"/>
  <c r="Q8"/>
  <c r="P8"/>
  <c r="N8"/>
  <c r="M8"/>
  <c r="L8"/>
  <c r="T6"/>
  <c r="T8" s="1"/>
  <c r="O6"/>
  <c r="AO6" s="1"/>
  <c r="AL43" i="18"/>
  <c r="AK43"/>
  <c r="AI43"/>
  <c r="AE43"/>
  <c r="S43"/>
  <c r="R43"/>
  <c r="Q43"/>
  <c r="P43"/>
  <c r="N43"/>
  <c r="M43"/>
  <c r="L43"/>
  <c r="T41"/>
  <c r="O41"/>
  <c r="AO41" s="1"/>
  <c r="T40"/>
  <c r="AG40" s="1"/>
  <c r="O40"/>
  <c r="AJ40" s="1"/>
  <c r="T39"/>
  <c r="O39"/>
  <c r="AJ39" s="1"/>
  <c r="T38"/>
  <c r="O38"/>
  <c r="AJ38" s="1"/>
  <c r="T37"/>
  <c r="O37"/>
  <c r="AJ37" s="1"/>
  <c r="T36"/>
  <c r="O36"/>
  <c r="AJ36" s="1"/>
  <c r="T35"/>
  <c r="O35"/>
  <c r="AJ35" s="1"/>
  <c r="T34"/>
  <c r="AG34" s="1"/>
  <c r="O34"/>
  <c r="AJ34" s="1"/>
  <c r="T33"/>
  <c r="O33"/>
  <c r="AJ33" s="1"/>
  <c r="T32"/>
  <c r="O32"/>
  <c r="AJ32" s="1"/>
  <c r="T31"/>
  <c r="O31"/>
  <c r="AJ31" s="1"/>
  <c r="T30"/>
  <c r="O30"/>
  <c r="AJ30" s="1"/>
  <c r="T29"/>
  <c r="O29"/>
  <c r="AJ29" s="1"/>
  <c r="T28"/>
  <c r="O28"/>
  <c r="AJ28" s="1"/>
  <c r="T27"/>
  <c r="O27"/>
  <c r="AJ27" s="1"/>
  <c r="T26"/>
  <c r="AG26" s="1"/>
  <c r="O26"/>
  <c r="AJ26" s="1"/>
  <c r="T25"/>
  <c r="O25"/>
  <c r="AJ25" s="1"/>
  <c r="T24"/>
  <c r="O24"/>
  <c r="AJ24" s="1"/>
  <c r="T23"/>
  <c r="O23"/>
  <c r="O22"/>
  <c r="AJ22" s="1"/>
  <c r="T21"/>
  <c r="AC21" s="1"/>
  <c r="O21"/>
  <c r="AO21" s="1"/>
  <c r="T20"/>
  <c r="O20"/>
  <c r="AO20" s="1"/>
  <c r="T19"/>
  <c r="O19"/>
  <c r="AO19" s="1"/>
  <c r="T18"/>
  <c r="O18"/>
  <c r="AO18" s="1"/>
  <c r="T17"/>
  <c r="O17"/>
  <c r="AO17" s="1"/>
  <c r="T16"/>
  <c r="O16"/>
  <c r="AO16" s="1"/>
  <c r="T15"/>
  <c r="O15"/>
  <c r="AO15" s="1"/>
  <c r="T14"/>
  <c r="AG14" s="1"/>
  <c r="O14"/>
  <c r="AO14" s="1"/>
  <c r="T13"/>
  <c r="AG13" s="1"/>
  <c r="O13"/>
  <c r="AO13" s="1"/>
  <c r="T12"/>
  <c r="O12"/>
  <c r="AO12" s="1"/>
  <c r="T11"/>
  <c r="O11"/>
  <c r="AO11" s="1"/>
  <c r="T10"/>
  <c r="O10"/>
  <c r="AO10" s="1"/>
  <c r="T9"/>
  <c r="O9"/>
  <c r="AO9" s="1"/>
  <c r="T8"/>
  <c r="O8"/>
  <c r="AO8" s="1"/>
  <c r="T7"/>
  <c r="O7"/>
  <c r="AO7" s="1"/>
  <c r="T6"/>
  <c r="O6"/>
  <c r="O43" s="1"/>
  <c r="L7" i="2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O8" i="19" l="1"/>
  <c r="O6" i="20"/>
  <c r="V6" i="19"/>
  <c r="V8" s="1"/>
  <c r="X6"/>
  <c r="X8" s="1"/>
  <c r="AJ6"/>
  <c r="AJ8" s="1"/>
  <c r="U6"/>
  <c r="W6"/>
  <c r="X7" i="18"/>
  <c r="X11"/>
  <c r="X15"/>
  <c r="X20"/>
  <c r="U22"/>
  <c r="Z22" s="1"/>
  <c r="AC34"/>
  <c r="X9"/>
  <c r="X13"/>
  <c r="X17"/>
  <c r="AO22"/>
  <c r="X41"/>
  <c r="V6"/>
  <c r="AJ6"/>
  <c r="AJ8"/>
  <c r="T43"/>
  <c r="X6"/>
  <c r="V7"/>
  <c r="AJ7"/>
  <c r="X8"/>
  <c r="V9"/>
  <c r="AJ9"/>
  <c r="X10"/>
  <c r="V11"/>
  <c r="AJ11"/>
  <c r="X12"/>
  <c r="V13"/>
  <c r="AJ13"/>
  <c r="X14"/>
  <c r="V15"/>
  <c r="AJ15"/>
  <c r="X16"/>
  <c r="V17"/>
  <c r="AJ17"/>
  <c r="X18"/>
  <c r="X19"/>
  <c r="V20"/>
  <c r="AJ20"/>
  <c r="X21"/>
  <c r="W22"/>
  <c r="AC26"/>
  <c r="V41"/>
  <c r="V8"/>
  <c r="V10"/>
  <c r="AJ10"/>
  <c r="V12"/>
  <c r="AJ12"/>
  <c r="V14"/>
  <c r="AJ14"/>
  <c r="V16"/>
  <c r="AJ16"/>
  <c r="V18"/>
  <c r="V19"/>
  <c r="AJ19"/>
  <c r="V21"/>
  <c r="AJ21"/>
  <c r="U6"/>
  <c r="W6"/>
  <c r="AO6"/>
  <c r="U7"/>
  <c r="W7"/>
  <c r="U8"/>
  <c r="W8"/>
  <c r="U9"/>
  <c r="W9"/>
  <c r="U10"/>
  <c r="W10"/>
  <c r="U11"/>
  <c r="W11"/>
  <c r="U12"/>
  <c r="W12"/>
  <c r="U13"/>
  <c r="W13"/>
  <c r="AC13"/>
  <c r="U14"/>
  <c r="W14"/>
  <c r="AC14"/>
  <c r="U15"/>
  <c r="W15"/>
  <c r="U16"/>
  <c r="W16"/>
  <c r="U17"/>
  <c r="W17"/>
  <c r="U18"/>
  <c r="W18"/>
  <c r="AJ18"/>
  <c r="AJ23"/>
  <c r="X23"/>
  <c r="V23"/>
  <c r="AO23"/>
  <c r="W23"/>
  <c r="AG21"/>
  <c r="U23"/>
  <c r="U24"/>
  <c r="W24"/>
  <c r="AO24"/>
  <c r="U25"/>
  <c r="W25"/>
  <c r="AO25"/>
  <c r="U26"/>
  <c r="W26"/>
  <c r="AO26"/>
  <c r="U27"/>
  <c r="W27"/>
  <c r="AO27"/>
  <c r="U28"/>
  <c r="W28"/>
  <c r="AO28"/>
  <c r="U29"/>
  <c r="W29"/>
  <c r="AO29"/>
  <c r="U30"/>
  <c r="W30"/>
  <c r="AO30"/>
  <c r="U31"/>
  <c r="W31"/>
  <c r="AO31"/>
  <c r="U32"/>
  <c r="W32"/>
  <c r="AO32"/>
  <c r="U33"/>
  <c r="W33"/>
  <c r="AO33"/>
  <c r="U34"/>
  <c r="W34"/>
  <c r="AO34"/>
  <c r="U35"/>
  <c r="W35"/>
  <c r="AO35"/>
  <c r="U36"/>
  <c r="W36"/>
  <c r="AO36"/>
  <c r="U37"/>
  <c r="W37"/>
  <c r="AO37"/>
  <c r="U38"/>
  <c r="W38"/>
  <c r="AO38"/>
  <c r="U39"/>
  <c r="W39"/>
  <c r="AO39"/>
  <c r="U40"/>
  <c r="W40"/>
  <c r="AC40"/>
  <c r="AO40"/>
  <c r="AJ41"/>
  <c r="AJ43" s="1"/>
  <c r="U19"/>
  <c r="W19"/>
  <c r="U20"/>
  <c r="W20"/>
  <c r="U21"/>
  <c r="W21"/>
  <c r="V22"/>
  <c r="X22"/>
  <c r="V24"/>
  <c r="X24"/>
  <c r="V25"/>
  <c r="X25"/>
  <c r="V26"/>
  <c r="X26"/>
  <c r="V27"/>
  <c r="X27"/>
  <c r="V28"/>
  <c r="X28"/>
  <c r="V29"/>
  <c r="X29"/>
  <c r="V30"/>
  <c r="X30"/>
  <c r="V31"/>
  <c r="X31"/>
  <c r="V32"/>
  <c r="X32"/>
  <c r="V33"/>
  <c r="X33"/>
  <c r="V34"/>
  <c r="X34"/>
  <c r="V35"/>
  <c r="X35"/>
  <c r="V36"/>
  <c r="X36"/>
  <c r="V37"/>
  <c r="X37"/>
  <c r="V38"/>
  <c r="X38"/>
  <c r="V39"/>
  <c r="X39"/>
  <c r="V40"/>
  <c r="X40"/>
  <c r="U41"/>
  <c r="W41"/>
  <c r="O8" i="20" l="1"/>
  <c r="P6"/>
  <c r="P8" s="1"/>
  <c r="R6"/>
  <c r="Y6" i="19"/>
  <c r="Z6"/>
  <c r="Z8" s="1"/>
  <c r="AO8"/>
  <c r="W8"/>
  <c r="U8"/>
  <c r="V43" i="18"/>
  <c r="X43"/>
  <c r="Y41"/>
  <c r="Z41"/>
  <c r="Y20"/>
  <c r="Z20"/>
  <c r="Z30"/>
  <c r="Y30"/>
  <c r="Z39"/>
  <c r="Y39"/>
  <c r="Z37"/>
  <c r="Y37"/>
  <c r="Z35"/>
  <c r="Y35"/>
  <c r="Z33"/>
  <c r="Y33"/>
  <c r="Z31"/>
  <c r="Y31"/>
  <c r="Z29"/>
  <c r="Y29"/>
  <c r="Z27"/>
  <c r="Y27"/>
  <c r="Z25"/>
  <c r="Y25"/>
  <c r="Z17"/>
  <c r="Y17"/>
  <c r="Z15"/>
  <c r="Y15"/>
  <c r="Z13"/>
  <c r="Y13"/>
  <c r="Z9"/>
  <c r="Y9"/>
  <c r="Y8"/>
  <c r="Z8"/>
  <c r="Y22"/>
  <c r="AO43"/>
  <c r="W43"/>
  <c r="Y21"/>
  <c r="Z21"/>
  <c r="Y19"/>
  <c r="Z19"/>
  <c r="Z40"/>
  <c r="Y40"/>
  <c r="Z38"/>
  <c r="Y38"/>
  <c r="Z36"/>
  <c r="Y36"/>
  <c r="Z34"/>
  <c r="Y34"/>
  <c r="Z32"/>
  <c r="Y32"/>
  <c r="Z28"/>
  <c r="Y28"/>
  <c r="Z26"/>
  <c r="Y26"/>
  <c r="Z24"/>
  <c r="Y24"/>
  <c r="Z23"/>
  <c r="Y23"/>
  <c r="Z18"/>
  <c r="Y18"/>
  <c r="Z16"/>
  <c r="Y16"/>
  <c r="Z14"/>
  <c r="Y14"/>
  <c r="Z12"/>
  <c r="Y12"/>
  <c r="Z11"/>
  <c r="Y11"/>
  <c r="Y10"/>
  <c r="Z10"/>
  <c r="Z7"/>
  <c r="Y7"/>
  <c r="U43"/>
  <c r="Y6"/>
  <c r="Z6"/>
  <c r="R8" i="20" l="1"/>
  <c r="S6"/>
  <c r="Q6"/>
  <c r="Q8" s="1"/>
  <c r="Y8" i="19"/>
  <c r="AA6"/>
  <c r="AB6" s="1"/>
  <c r="Z43" i="18"/>
  <c r="AA10"/>
  <c r="AB10" s="1"/>
  <c r="AA19"/>
  <c r="AB19" s="1"/>
  <c r="Y43"/>
  <c r="AA6"/>
  <c r="AB6" s="1"/>
  <c r="AA7"/>
  <c r="AB7" s="1"/>
  <c r="AA11"/>
  <c r="AB11" s="1"/>
  <c r="AA12"/>
  <c r="AB12" s="1"/>
  <c r="AA14"/>
  <c r="AB14" s="1"/>
  <c r="AA16"/>
  <c r="AB16" s="1"/>
  <c r="AA18"/>
  <c r="AB18" s="1"/>
  <c r="AA23"/>
  <c r="AB23" s="1"/>
  <c r="AA24"/>
  <c r="AB24" s="1"/>
  <c r="AA26"/>
  <c r="AB26" s="1"/>
  <c r="AA28"/>
  <c r="AB28" s="1"/>
  <c r="AA32"/>
  <c r="AB32" s="1"/>
  <c r="AA34"/>
  <c r="AB34" s="1"/>
  <c r="AA36"/>
  <c r="AB36" s="1"/>
  <c r="AA38"/>
  <c r="AB38" s="1"/>
  <c r="AA40"/>
  <c r="AB40" s="1"/>
  <c r="AA22"/>
  <c r="AB22" s="1"/>
  <c r="AA8"/>
  <c r="AB8" s="1"/>
  <c r="AA20"/>
  <c r="AB20" s="1"/>
  <c r="AA41"/>
  <c r="AB41" s="1"/>
  <c r="AA21"/>
  <c r="AB21" s="1"/>
  <c r="AA9"/>
  <c r="AB9" s="1"/>
  <c r="AA13"/>
  <c r="AB13" s="1"/>
  <c r="AA15"/>
  <c r="AB15" s="1"/>
  <c r="AA17"/>
  <c r="AB17" s="1"/>
  <c r="AA25"/>
  <c r="AB25" s="1"/>
  <c r="AA27"/>
  <c r="AB27" s="1"/>
  <c r="AA29"/>
  <c r="AB29" s="1"/>
  <c r="AA31"/>
  <c r="AB31" s="1"/>
  <c r="AA33"/>
  <c r="AB33" s="1"/>
  <c r="AA35"/>
  <c r="AB35" s="1"/>
  <c r="AA37"/>
  <c r="AB37" s="1"/>
  <c r="AA39"/>
  <c r="AB39" s="1"/>
  <c r="AA30"/>
  <c r="AB30" s="1"/>
  <c r="S8" i="20" l="1"/>
  <c r="T6"/>
  <c r="AH6" i="19"/>
  <c r="AH8" s="1"/>
  <c r="AD6"/>
  <c r="AF6" s="1"/>
  <c r="AC6"/>
  <c r="AG6"/>
  <c r="AA8"/>
  <c r="AB8"/>
  <c r="AC8"/>
  <c r="AH21" i="18"/>
  <c r="AD21"/>
  <c r="AF21" s="1"/>
  <c r="AH20"/>
  <c r="AD20"/>
  <c r="AC20"/>
  <c r="AG20"/>
  <c r="AB43"/>
  <c r="AH6"/>
  <c r="AD6"/>
  <c r="AG6"/>
  <c r="AC6"/>
  <c r="AH41"/>
  <c r="AD41"/>
  <c r="AC41"/>
  <c r="AG41"/>
  <c r="AH8"/>
  <c r="AD8"/>
  <c r="AC8"/>
  <c r="AG8"/>
  <c r="AD30"/>
  <c r="AH30"/>
  <c r="AC30"/>
  <c r="AF30" s="1"/>
  <c r="AG30"/>
  <c r="AD37"/>
  <c r="AH37"/>
  <c r="AC37"/>
  <c r="AF37" s="1"/>
  <c r="AG37"/>
  <c r="AD33"/>
  <c r="AH33"/>
  <c r="AC33"/>
  <c r="AF33" s="1"/>
  <c r="AG33"/>
  <c r="AD29"/>
  <c r="AH29"/>
  <c r="AC29"/>
  <c r="AF29" s="1"/>
  <c r="AG29"/>
  <c r="AD39"/>
  <c r="AH39"/>
  <c r="AC39"/>
  <c r="AF39" s="1"/>
  <c r="AG39"/>
  <c r="AD35"/>
  <c r="AH35"/>
  <c r="AC35"/>
  <c r="AF35" s="1"/>
  <c r="AG35"/>
  <c r="AD31"/>
  <c r="AH31"/>
  <c r="AC31"/>
  <c r="AF31" s="1"/>
  <c r="AG31"/>
  <c r="AD27"/>
  <c r="AH27"/>
  <c r="AC27"/>
  <c r="AF27" s="1"/>
  <c r="AG27"/>
  <c r="AD25"/>
  <c r="AH25"/>
  <c r="AC25"/>
  <c r="AF25" s="1"/>
  <c r="AG25"/>
  <c r="AD17"/>
  <c r="AH17"/>
  <c r="AG17"/>
  <c r="AM17" s="1"/>
  <c r="AN17" s="1"/>
  <c r="AP17" s="1"/>
  <c r="AC17"/>
  <c r="AG15"/>
  <c r="AM15" s="1"/>
  <c r="AN15" s="1"/>
  <c r="AP15" s="1"/>
  <c r="AC15"/>
  <c r="AD13"/>
  <c r="AF13" s="1"/>
  <c r="AH13"/>
  <c r="AD9"/>
  <c r="AH9"/>
  <c r="AG9"/>
  <c r="AC9"/>
  <c r="AG22"/>
  <c r="AD22"/>
  <c r="AH22"/>
  <c r="AC22"/>
  <c r="AD40"/>
  <c r="AF40" s="1"/>
  <c r="BA40"/>
  <c r="AH40"/>
  <c r="AD38"/>
  <c r="AH38"/>
  <c r="AC38"/>
  <c r="AF38" s="1"/>
  <c r="AG38"/>
  <c r="AD36"/>
  <c r="AH36"/>
  <c r="AC36"/>
  <c r="AG36"/>
  <c r="AD34"/>
  <c r="AF34" s="1"/>
  <c r="AH34"/>
  <c r="AD32"/>
  <c r="AH32"/>
  <c r="AC32"/>
  <c r="AF32" s="1"/>
  <c r="AG32"/>
  <c r="AD28"/>
  <c r="AH28"/>
  <c r="AF28"/>
  <c r="AC28"/>
  <c r="AG28"/>
  <c r="AD26"/>
  <c r="AF26" s="1"/>
  <c r="AH26"/>
  <c r="AD24"/>
  <c r="AH24"/>
  <c r="AC24"/>
  <c r="AF24" s="1"/>
  <c r="AG24"/>
  <c r="AD23"/>
  <c r="AH23"/>
  <c r="AC23"/>
  <c r="AG23"/>
  <c r="AH18"/>
  <c r="AD18"/>
  <c r="AC18"/>
  <c r="AG18"/>
  <c r="AD16"/>
  <c r="AH16"/>
  <c r="AG16"/>
  <c r="AC16"/>
  <c r="AD14"/>
  <c r="AF14" s="1"/>
  <c r="AH14"/>
  <c r="AD12"/>
  <c r="AH12"/>
  <c r="AG12"/>
  <c r="AC12"/>
  <c r="AD11"/>
  <c r="AH11"/>
  <c r="AC11"/>
  <c r="AF11" s="1"/>
  <c r="AG11"/>
  <c r="AD7"/>
  <c r="AH7"/>
  <c r="AC7"/>
  <c r="AF7" s="1"/>
  <c r="AG7"/>
  <c r="AH19"/>
  <c r="AD19"/>
  <c r="AC19"/>
  <c r="AG19"/>
  <c r="AH10"/>
  <c r="AD10"/>
  <c r="AG10"/>
  <c r="AM10" s="1"/>
  <c r="AN10" s="1"/>
  <c r="AP10" s="1"/>
  <c r="AC10"/>
  <c r="AA43"/>
  <c r="AF8" l="1"/>
  <c r="AF41"/>
  <c r="AM20"/>
  <c r="AN20" s="1"/>
  <c r="AP20" s="1"/>
  <c r="AM18"/>
  <c r="AN18" s="1"/>
  <c r="AP18" s="1"/>
  <c r="AM24"/>
  <c r="AN24" s="1"/>
  <c r="AP24" s="1"/>
  <c r="AM28"/>
  <c r="AN28" s="1"/>
  <c r="AP28" s="1"/>
  <c r="AM38"/>
  <c r="AN38" s="1"/>
  <c r="AP38" s="1"/>
  <c r="AQ38" s="1"/>
  <c r="AR38" s="1"/>
  <c r="AF22"/>
  <c r="AF9"/>
  <c r="AF20"/>
  <c r="AM6" i="19"/>
  <c r="AN6" s="1"/>
  <c r="AP6" s="1"/>
  <c r="AQ6" s="1"/>
  <c r="AF10" i="18"/>
  <c r="AF23"/>
  <c r="AF36"/>
  <c r="T8" i="20"/>
  <c r="U6"/>
  <c r="U8" s="1"/>
  <c r="AG8" i="19"/>
  <c r="AF8"/>
  <c r="AD8"/>
  <c r="AF18" i="18"/>
  <c r="AM14"/>
  <c r="AN14" s="1"/>
  <c r="AP14" s="1"/>
  <c r="AQ14" s="1"/>
  <c r="AR14" s="1"/>
  <c r="AM40"/>
  <c r="AN40" s="1"/>
  <c r="AP40" s="1"/>
  <c r="AM13"/>
  <c r="AN13" s="1"/>
  <c r="AP13" s="1"/>
  <c r="AM21"/>
  <c r="AN21" s="1"/>
  <c r="AP21" s="1"/>
  <c r="AM11"/>
  <c r="AN11" s="1"/>
  <c r="AP11" s="1"/>
  <c r="AQ11" s="1"/>
  <c r="AR11" s="1"/>
  <c r="AM12"/>
  <c r="AN12" s="1"/>
  <c r="AP12" s="1"/>
  <c r="AQ12" s="1"/>
  <c r="AR12" s="1"/>
  <c r="AF16"/>
  <c r="AM26"/>
  <c r="AN26" s="1"/>
  <c r="AP26" s="1"/>
  <c r="AQ26" s="1"/>
  <c r="AR26" s="1"/>
  <c r="AM34"/>
  <c r="AN34" s="1"/>
  <c r="AP34" s="1"/>
  <c r="AM19"/>
  <c r="AN19" s="1"/>
  <c r="AP19" s="1"/>
  <c r="AQ19" s="1"/>
  <c r="AR19" s="1"/>
  <c r="AF19"/>
  <c r="AM7"/>
  <c r="AN7" s="1"/>
  <c r="AP7" s="1"/>
  <c r="AQ7" s="1"/>
  <c r="AR7" s="1"/>
  <c r="AF12"/>
  <c r="AM16"/>
  <c r="AN16" s="1"/>
  <c r="AP16" s="1"/>
  <c r="AQ16" s="1"/>
  <c r="AR16" s="1"/>
  <c r="AM23"/>
  <c r="AN23" s="1"/>
  <c r="AP23" s="1"/>
  <c r="AM32"/>
  <c r="AN32" s="1"/>
  <c r="AP32" s="1"/>
  <c r="AQ32" s="1"/>
  <c r="AR32" s="1"/>
  <c r="AM36"/>
  <c r="AN36" s="1"/>
  <c r="AP36" s="1"/>
  <c r="AQ36" s="1"/>
  <c r="AR36" s="1"/>
  <c r="AM9"/>
  <c r="AN9" s="1"/>
  <c r="AP9" s="1"/>
  <c r="AQ9" s="1"/>
  <c r="AR9" s="1"/>
  <c r="AF15"/>
  <c r="AF17"/>
  <c r="AQ23"/>
  <c r="AR23" s="1"/>
  <c r="AQ10"/>
  <c r="AR10" s="1"/>
  <c r="AQ18"/>
  <c r="AR18" s="1"/>
  <c r="AQ24"/>
  <c r="AR24" s="1"/>
  <c r="AQ28"/>
  <c r="AR28" s="1"/>
  <c r="AQ15"/>
  <c r="AR15" s="1"/>
  <c r="AQ17"/>
  <c r="AR17" s="1"/>
  <c r="AQ20"/>
  <c r="AR20" s="1"/>
  <c r="AQ34"/>
  <c r="AR34" s="1"/>
  <c r="AQ13"/>
  <c r="AR13" s="1"/>
  <c r="AQ21"/>
  <c r="AR21" s="1"/>
  <c r="AM22"/>
  <c r="AN22" s="1"/>
  <c r="AP22" s="1"/>
  <c r="AM25"/>
  <c r="AN25" s="1"/>
  <c r="AP25" s="1"/>
  <c r="AM27"/>
  <c r="AN27" s="1"/>
  <c r="AP27" s="1"/>
  <c r="AM31"/>
  <c r="AN31" s="1"/>
  <c r="AP31" s="1"/>
  <c r="AM35"/>
  <c r="AN35" s="1"/>
  <c r="AP35" s="1"/>
  <c r="AM39"/>
  <c r="AN39" s="1"/>
  <c r="AP39" s="1"/>
  <c r="AM29"/>
  <c r="AN29" s="1"/>
  <c r="AP29" s="1"/>
  <c r="AM33"/>
  <c r="AN33" s="1"/>
  <c r="AP33" s="1"/>
  <c r="AM37"/>
  <c r="AN37" s="1"/>
  <c r="AP37" s="1"/>
  <c r="AM30"/>
  <c r="AN30" s="1"/>
  <c r="AP30" s="1"/>
  <c r="AM8"/>
  <c r="AN8" s="1"/>
  <c r="AP8" s="1"/>
  <c r="AM41"/>
  <c r="AN41" s="1"/>
  <c r="AP41" s="1"/>
  <c r="AC43"/>
  <c r="AD43"/>
  <c r="AF6"/>
  <c r="AQ40"/>
  <c r="AR40" s="1"/>
  <c r="AG43"/>
  <c r="AM6"/>
  <c r="AH43"/>
  <c r="AR6" i="19" l="1"/>
  <c r="V6" i="20"/>
  <c r="V8" s="1"/>
  <c r="AM8" i="19"/>
  <c r="AF43" i="18"/>
  <c r="AM43"/>
  <c r="AN6"/>
  <c r="AQ41"/>
  <c r="AR41" s="1"/>
  <c r="AQ30"/>
  <c r="AR30" s="1"/>
  <c r="AQ39"/>
  <c r="AR39" s="1"/>
  <c r="AQ31"/>
  <c r="AR31" s="1"/>
  <c r="AQ8"/>
  <c r="AR8" s="1"/>
  <c r="AQ37"/>
  <c r="AR37" s="1"/>
  <c r="AQ29"/>
  <c r="AR29" s="1"/>
  <c r="AQ35"/>
  <c r="AR35" s="1"/>
  <c r="AQ27"/>
  <c r="AR27" s="1"/>
  <c r="AQ22"/>
  <c r="AR22" s="1"/>
  <c r="AQ33"/>
  <c r="AR33" s="1"/>
  <c r="AQ25"/>
  <c r="AR25" s="1"/>
  <c r="AN8" i="19" l="1"/>
  <c r="AN43" i="18"/>
  <c r="AP6"/>
  <c r="AP8" i="19" l="1"/>
  <c r="AP11" s="1"/>
  <c r="AR8"/>
  <c r="AQ8"/>
  <c r="AP43" i="18"/>
  <c r="AP46" s="1"/>
  <c r="AQ6"/>
  <c r="AQ43" s="1"/>
  <c r="AR6" l="1"/>
  <c r="AR43" s="1"/>
  <c r="N7" i="2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O27" s="1"/>
  <c r="N28"/>
  <c r="N29"/>
  <c r="N30"/>
  <c r="N31"/>
  <c r="N32"/>
  <c r="N33"/>
  <c r="N34"/>
  <c r="N35"/>
  <c r="N36"/>
  <c r="N37"/>
  <c r="N38"/>
  <c r="N39"/>
  <c r="N40"/>
  <c r="N41"/>
  <c r="O11"/>
  <c r="R11" l="1"/>
  <c r="S11" s="1"/>
  <c r="T11" s="1"/>
  <c r="U11" s="1"/>
  <c r="V11" s="1"/>
  <c r="P11"/>
  <c r="R27"/>
  <c r="S27" s="1"/>
  <c r="T27" s="1"/>
  <c r="U27" s="1"/>
  <c r="V27" s="1"/>
  <c r="P27"/>
  <c r="Q27" s="1"/>
  <c r="Q11"/>
  <c r="O35"/>
  <c r="O19"/>
  <c r="O41"/>
  <c r="O40"/>
  <c r="O39"/>
  <c r="O38"/>
  <c r="O37"/>
  <c r="O36"/>
  <c r="O26"/>
  <c r="O25"/>
  <c r="O24"/>
  <c r="O23"/>
  <c r="O22"/>
  <c r="O21"/>
  <c r="O20"/>
  <c r="O10"/>
  <c r="O9"/>
  <c r="O8"/>
  <c r="O7"/>
  <c r="O34"/>
  <c r="O33"/>
  <c r="O32"/>
  <c r="O31"/>
  <c r="O30"/>
  <c r="O29"/>
  <c r="O28"/>
  <c r="O18"/>
  <c r="O17"/>
  <c r="O16"/>
  <c r="O15"/>
  <c r="O14"/>
  <c r="O13"/>
  <c r="O12"/>
  <c r="R15" l="1"/>
  <c r="S15" s="1"/>
  <c r="P15"/>
  <c r="Q15" s="1"/>
  <c r="R17"/>
  <c r="P17"/>
  <c r="Q17" s="1"/>
  <c r="R28"/>
  <c r="P28"/>
  <c r="R32"/>
  <c r="P32"/>
  <c r="Q32" s="1"/>
  <c r="R8"/>
  <c r="P8"/>
  <c r="Q8" s="1"/>
  <c r="R10"/>
  <c r="P10"/>
  <c r="Q10" s="1"/>
  <c r="R23"/>
  <c r="P23"/>
  <c r="Q23" s="1"/>
  <c r="R25"/>
  <c r="P25"/>
  <c r="Q25" s="1"/>
  <c r="R36"/>
  <c r="S36" s="1"/>
  <c r="T36" s="1"/>
  <c r="U36" s="1"/>
  <c r="V36" s="1"/>
  <c r="P36"/>
  <c r="R38"/>
  <c r="S38" s="1"/>
  <c r="T38" s="1"/>
  <c r="U38" s="1"/>
  <c r="V38" s="1"/>
  <c r="P38"/>
  <c r="Q38" s="1"/>
  <c r="R40"/>
  <c r="P40"/>
  <c r="R19"/>
  <c r="P19"/>
  <c r="Q19" s="1"/>
  <c r="R12"/>
  <c r="P12"/>
  <c r="R16"/>
  <c r="S16" s="1"/>
  <c r="T16" s="1"/>
  <c r="U16" s="1"/>
  <c r="V16" s="1"/>
  <c r="P16"/>
  <c r="Q16" s="1"/>
  <c r="R18"/>
  <c r="S18" s="1"/>
  <c r="T18" s="1"/>
  <c r="U18" s="1"/>
  <c r="V18" s="1"/>
  <c r="P18"/>
  <c r="R29"/>
  <c r="P29"/>
  <c r="R31"/>
  <c r="P31"/>
  <c r="R33"/>
  <c r="P33"/>
  <c r="Q33" s="1"/>
  <c r="R7"/>
  <c r="S7" s="1"/>
  <c r="T7" s="1"/>
  <c r="U7" s="1"/>
  <c r="P7"/>
  <c r="R9"/>
  <c r="S9" s="1"/>
  <c r="T9" s="1"/>
  <c r="U9" s="1"/>
  <c r="V9" s="1"/>
  <c r="P9"/>
  <c r="Q9" s="1"/>
  <c r="R20"/>
  <c r="S20" s="1"/>
  <c r="T20" s="1"/>
  <c r="U20" s="1"/>
  <c r="V20" s="1"/>
  <c r="P20"/>
  <c r="R22"/>
  <c r="P22"/>
  <c r="Q22" s="1"/>
  <c r="R24"/>
  <c r="P24"/>
  <c r="R37"/>
  <c r="S37" s="1"/>
  <c r="T37" s="1"/>
  <c r="U37" s="1"/>
  <c r="P37"/>
  <c r="R39"/>
  <c r="P39"/>
  <c r="R41"/>
  <c r="S41" s="1"/>
  <c r="T41" s="1"/>
  <c r="U41" s="1"/>
  <c r="V41" s="1"/>
  <c r="P41"/>
  <c r="Q41" s="1"/>
  <c r="R35"/>
  <c r="S35" s="1"/>
  <c r="T35" s="1"/>
  <c r="U35" s="1"/>
  <c r="V35" s="1"/>
  <c r="P35"/>
  <c r="R30"/>
  <c r="P30"/>
  <c r="Q30" s="1"/>
  <c r="Q36"/>
  <c r="S28"/>
  <c r="T28" s="1"/>
  <c r="U28" s="1"/>
  <c r="V28" s="1"/>
  <c r="Q28"/>
  <c r="Q7"/>
  <c r="S24"/>
  <c r="T24" s="1"/>
  <c r="U24" s="1"/>
  <c r="V24" s="1"/>
  <c r="Q24"/>
  <c r="S12"/>
  <c r="T12" s="1"/>
  <c r="U12" s="1"/>
  <c r="V12" s="1"/>
  <c r="Q29"/>
  <c r="S29"/>
  <c r="T29" s="1"/>
  <c r="U29" s="1"/>
  <c r="S33"/>
  <c r="T33" s="1"/>
  <c r="U33" s="1"/>
  <c r="V33" s="1"/>
  <c r="S8"/>
  <c r="T8" s="1"/>
  <c r="U8" s="1"/>
  <c r="V8" s="1"/>
  <c r="Q21"/>
  <c r="S21"/>
  <c r="T21" s="1"/>
  <c r="U21" s="1"/>
  <c r="S25"/>
  <c r="S19"/>
  <c r="T19" s="1"/>
  <c r="U19" s="1"/>
  <c r="V19" s="1"/>
  <c r="S32"/>
  <c r="T32" s="1"/>
  <c r="U32" s="1"/>
  <c r="V32" s="1"/>
  <c r="Q20"/>
  <c r="Q37"/>
  <c r="S13"/>
  <c r="T13" s="1"/>
  <c r="U13" s="1"/>
  <c r="Q13"/>
  <c r="S17"/>
  <c r="T17" s="1"/>
  <c r="U17" s="1"/>
  <c r="V17" s="1"/>
  <c r="S30"/>
  <c r="T30" s="1"/>
  <c r="U30" s="1"/>
  <c r="V30" s="1"/>
  <c r="Q34"/>
  <c r="S34"/>
  <c r="T34" s="1"/>
  <c r="U34" s="1"/>
  <c r="V34" s="1"/>
  <c r="S22"/>
  <c r="T22" s="1"/>
  <c r="U22" s="1"/>
  <c r="V22" s="1"/>
  <c r="Q26"/>
  <c r="S26"/>
  <c r="T26" s="1"/>
  <c r="U26" s="1"/>
  <c r="V26" s="1"/>
  <c r="Q39"/>
  <c r="S39"/>
  <c r="T39" s="1"/>
  <c r="U39" s="1"/>
  <c r="V39" s="1"/>
  <c r="Q35"/>
  <c r="T15"/>
  <c r="U15" s="1"/>
  <c r="S14"/>
  <c r="Q14"/>
  <c r="Q18"/>
  <c r="S31"/>
  <c r="T31" s="1"/>
  <c r="Q31"/>
  <c r="S10"/>
  <c r="T10" s="1"/>
  <c r="U10" s="1"/>
  <c r="V10" s="1"/>
  <c r="S23"/>
  <c r="T23" s="1"/>
  <c r="U23" s="1"/>
  <c r="S40"/>
  <c r="T40" s="1"/>
  <c r="U40" s="1"/>
  <c r="V40" s="1"/>
  <c r="Q40"/>
  <c r="Q12"/>
  <c r="T14"/>
  <c r="U14" s="1"/>
  <c r="V14" s="1"/>
  <c r="T25"/>
  <c r="U25" s="1"/>
  <c r="V25" s="1"/>
  <c r="V7" l="1"/>
  <c r="V23"/>
  <c r="U31"/>
  <c r="V31" s="1"/>
  <c r="V37"/>
  <c r="V21"/>
  <c r="V29"/>
  <c r="V15"/>
  <c r="V13"/>
  <c r="M43" l="1"/>
  <c r="K43"/>
  <c r="J43"/>
  <c r="AL10" i="17" l="1"/>
  <c r="AK10"/>
  <c r="AI10"/>
  <c r="AE10"/>
  <c r="Z10"/>
  <c r="S10"/>
  <c r="R10"/>
  <c r="Q10"/>
  <c r="P10"/>
  <c r="N10"/>
  <c r="M10"/>
  <c r="L10"/>
  <c r="T8"/>
  <c r="O8"/>
  <c r="AJ8" s="1"/>
  <c r="T7"/>
  <c r="O7"/>
  <c r="AO7" s="1"/>
  <c r="T6"/>
  <c r="O6"/>
  <c r="AJ6" s="1"/>
  <c r="N6" i="2"/>
  <c r="N43" s="1"/>
  <c r="L6"/>
  <c r="L43" s="1"/>
  <c r="T10" i="17" l="1"/>
  <c r="X6"/>
  <c r="O10"/>
  <c r="V6"/>
  <c r="AO6"/>
  <c r="U7"/>
  <c r="W7"/>
  <c r="AJ7"/>
  <c r="V8"/>
  <c r="AO8"/>
  <c r="U6"/>
  <c r="W6"/>
  <c r="V7"/>
  <c r="X7"/>
  <c r="X10" s="1"/>
  <c r="U8"/>
  <c r="O6" i="2"/>
  <c r="O43" l="1"/>
  <c r="P6"/>
  <c r="P43" s="1"/>
  <c r="R6"/>
  <c r="R43" s="1"/>
  <c r="Y8" i="17"/>
  <c r="AA8" s="1"/>
  <c r="AB8" s="1"/>
  <c r="V10"/>
  <c r="Y6"/>
  <c r="AA6" s="1"/>
  <c r="AB6" s="1"/>
  <c r="U10"/>
  <c r="AJ10"/>
  <c r="Y7"/>
  <c r="W10"/>
  <c r="AO10"/>
  <c r="Q6" i="2" l="1"/>
  <c r="Q43" s="1"/>
  <c r="S6"/>
  <c r="S43" s="1"/>
  <c r="AG8" i="17"/>
  <c r="AD8"/>
  <c r="AH8"/>
  <c r="AC8"/>
  <c r="AG6"/>
  <c r="AD6"/>
  <c r="AH6"/>
  <c r="AC6"/>
  <c r="AA7"/>
  <c r="AB7" s="1"/>
  <c r="Y10"/>
  <c r="T6" i="2" l="1"/>
  <c r="T43" s="1"/>
  <c r="AF6" i="17"/>
  <c r="AF8"/>
  <c r="AA10"/>
  <c r="AM8"/>
  <c r="AN8" s="1"/>
  <c r="AP8" s="1"/>
  <c r="AB10"/>
  <c r="AH7"/>
  <c r="AG7"/>
  <c r="AD7"/>
  <c r="AC7"/>
  <c r="AM6"/>
  <c r="AN6" s="1"/>
  <c r="AP6" s="1"/>
  <c r="U6" i="2" l="1"/>
  <c r="U43" s="1"/>
  <c r="AF7" i="17"/>
  <c r="AM7"/>
  <c r="AN7" s="1"/>
  <c r="AP7" s="1"/>
  <c r="AQ7" s="1"/>
  <c r="AR7" s="1"/>
  <c r="AQ6"/>
  <c r="AR6" s="1"/>
  <c r="AQ8"/>
  <c r="AR8" s="1"/>
  <c r="AC10"/>
  <c r="AH10"/>
  <c r="AD10"/>
  <c r="AG10"/>
  <c r="AF10"/>
  <c r="V6" i="2" l="1"/>
  <c r="V43" s="1"/>
  <c r="AM10" i="17"/>
  <c r="AN10" l="1"/>
  <c r="AP10" l="1"/>
  <c r="AQ10"/>
  <c r="AR10" l="1"/>
  <c r="K2" i="14" l="1"/>
  <c r="L2" i="12"/>
  <c r="AN8" i="11"/>
  <c r="AK8"/>
  <c r="AJ8"/>
  <c r="AI8"/>
  <c r="AE8"/>
  <c r="Z8"/>
  <c r="S8"/>
  <c r="R8"/>
  <c r="Q8"/>
  <c r="P8"/>
  <c r="N8"/>
  <c r="M8"/>
  <c r="L8"/>
  <c r="T6"/>
  <c r="T8" s="1"/>
  <c r="O6"/>
  <c r="X6" s="1"/>
  <c r="X8" s="1"/>
  <c r="V6" l="1"/>
  <c r="V8" s="1"/>
  <c r="O8"/>
  <c r="U6"/>
  <c r="AH6" s="1"/>
  <c r="AH8" s="1"/>
  <c r="W6"/>
  <c r="W8" s="1"/>
  <c r="U8" l="1"/>
  <c r="AD6"/>
  <c r="AD8" s="1"/>
  <c r="Y6"/>
  <c r="Y8" l="1"/>
  <c r="AA6"/>
  <c r="AA8" s="1"/>
  <c r="AB6" l="1"/>
  <c r="AG6" s="1"/>
  <c r="AB8" l="1"/>
  <c r="AC6"/>
  <c r="AC8" s="1"/>
  <c r="AG8"/>
  <c r="AL6"/>
  <c r="AF6" l="1"/>
  <c r="AF8" s="1"/>
  <c r="AL8"/>
  <c r="AM6"/>
  <c r="AO6" l="1"/>
  <c r="AM8"/>
  <c r="AP6" l="1"/>
  <c r="AP8" s="1"/>
  <c r="AO8"/>
  <c r="AQ6" l="1"/>
  <c r="AQ8" s="1"/>
</calcChain>
</file>

<file path=xl/sharedStrings.xml><?xml version="1.0" encoding="utf-8"?>
<sst xmlns="http://schemas.openxmlformats.org/spreadsheetml/2006/main" count="758" uniqueCount="280">
  <si>
    <t xml:space="preserve">Location </t>
  </si>
  <si>
    <t>DEL096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</si>
  <si>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</si>
  <si>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</si>
  <si>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</si>
  <si>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</si>
  <si>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</si>
  <si>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</si>
  <si>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DHL-Okhla-A-185-Lenovo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</si>
  <si>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</si>
  <si>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</si>
  <si>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</si>
  <si>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</si>
  <si>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</si>
  <si>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</si>
  <si>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</si>
  <si>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</si>
  <si>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</si>
  <si>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</si>
  <si>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</si>
  <si>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</si>
  <si>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</si>
  <si>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</si>
  <si>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</si>
  <si>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Project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</si>
  <si>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</si>
  <si>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</si>
  <si>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</si>
  <si>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</si>
  <si>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</si>
  <si>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</si>
  <si>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</si>
  <si>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</si>
  <si>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</si>
  <si>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</si>
  <si>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</si>
  <si>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</si>
  <si>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</si>
  <si>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</si>
  <si>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</si>
  <si>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</si>
  <si>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</si>
  <si>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</si>
  <si>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</si>
  <si>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</si>
  <si>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(0.75%)</t>
  </si>
  <si>
    <t>Employee Contribution on PF (12%)</t>
  </si>
  <si>
    <t>Employee LWF Contribution</t>
  </si>
  <si>
    <t>Net earning</t>
  </si>
  <si>
    <t>Employer Contribution on ESIC (3.25%)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</si>
  <si>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</si>
  <si>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</si>
  <si>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</si>
  <si>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</si>
  <si>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</si>
  <si>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</si>
  <si>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</si>
  <si>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</si>
  <si>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</si>
  <si>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</si>
  <si>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</si>
  <si>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 NO.</t>
  </si>
  <si>
    <t>PAN NO.</t>
  </si>
  <si>
    <t>ACC. NO.</t>
  </si>
  <si>
    <t>IFSC CODE</t>
  </si>
  <si>
    <t>PF Wages</t>
  </si>
  <si>
    <t>DEO</t>
  </si>
  <si>
    <t>HPEG00</t>
  </si>
  <si>
    <t>Amresh Kumar Yadav</t>
  </si>
  <si>
    <t>RAJ KARAN</t>
  </si>
  <si>
    <t>MHE</t>
  </si>
  <si>
    <t>Lenovo</t>
  </si>
  <si>
    <t>101263655749</t>
  </si>
  <si>
    <t>3562020931</t>
  </si>
  <si>
    <t>Manoj  Kumar</t>
  </si>
  <si>
    <t>Ashok Kumar</t>
  </si>
  <si>
    <t>Konika</t>
  </si>
  <si>
    <t xml:space="preserve">Sandeep  </t>
  </si>
  <si>
    <t>Inder Pal</t>
  </si>
  <si>
    <t>HK</t>
  </si>
  <si>
    <t>100628606431</t>
  </si>
  <si>
    <t>6925525448</t>
  </si>
  <si>
    <t>3562030198</t>
  </si>
  <si>
    <t>Ramesh Kumar SINGH</t>
  </si>
  <si>
    <t>OM PAL</t>
  </si>
  <si>
    <t xml:space="preserve">Total </t>
  </si>
  <si>
    <t>DHL-Okhla-A-185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</si>
  <si>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</si>
  <si>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</si>
  <si>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</si>
  <si>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</si>
  <si>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</si>
  <si>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</si>
  <si>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</si>
  <si>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</si>
  <si>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Employee Contribution on ESIC (1.75%)</t>
  </si>
  <si>
    <t>Employer Contribution on ESIC (4.75%)</t>
  </si>
  <si>
    <t>Arrears</t>
  </si>
  <si>
    <t>New</t>
  </si>
  <si>
    <t>Deepak</t>
  </si>
  <si>
    <t>DOE</t>
  </si>
  <si>
    <t>3562012181</t>
  </si>
  <si>
    <t>Ajit  Singh</t>
  </si>
  <si>
    <t>Amar Singh</t>
  </si>
  <si>
    <t xml:space="preserve">F&amp;F </t>
  </si>
  <si>
    <t>Status</t>
  </si>
  <si>
    <t>DM</t>
  </si>
  <si>
    <t>Insurance</t>
  </si>
  <si>
    <t>GAUTAM JHA</t>
  </si>
  <si>
    <t>PAWAN JHA</t>
  </si>
  <si>
    <t>RAKESH YADAV</t>
  </si>
  <si>
    <t>OSHIYAR YADAV</t>
  </si>
  <si>
    <r>
      <t>Associates</t>
    </r>
    <r>
      <rPr>
        <sz val="12"/>
        <color theme="1"/>
        <rFont val="Times New Roman"/>
        <family val="1"/>
      </rPr>
      <t xml:space="preserve"> </t>
    </r>
  </si>
  <si>
    <t xml:space="preserve">101497731005 </t>
  </si>
  <si>
    <t xml:space="preserve"> 6930264290</t>
  </si>
  <si>
    <t xml:space="preserve">100974185193 </t>
  </si>
  <si>
    <t xml:space="preserve"> 6930330765</t>
  </si>
  <si>
    <t>DM001</t>
  </si>
  <si>
    <t>DM002</t>
  </si>
  <si>
    <t>Soniya Bhandari</t>
  </si>
  <si>
    <t>19/10/2020</t>
  </si>
  <si>
    <t>BIMLESH PATWAL</t>
  </si>
  <si>
    <t xml:space="preserve"> 6930547607</t>
  </si>
  <si>
    <t>101624909538</t>
  </si>
  <si>
    <t>SHASHIKANT GIRI</t>
  </si>
  <si>
    <t>CHANDAN SINGH BISHT</t>
  </si>
  <si>
    <t>PADAM SINGH BISHT</t>
  </si>
  <si>
    <t>GANESH GIRI</t>
  </si>
  <si>
    <t>21/12/2020</t>
  </si>
  <si>
    <t>Picker</t>
  </si>
  <si>
    <t>Mr Dinesh Kumar</t>
  </si>
  <si>
    <t>Raju</t>
  </si>
  <si>
    <t>supervisor</t>
  </si>
  <si>
    <t>Total</t>
  </si>
  <si>
    <t>Chander Pal</t>
  </si>
  <si>
    <t>100298442315</t>
  </si>
  <si>
    <t>100139053002</t>
  </si>
  <si>
    <t>100350120480</t>
  </si>
  <si>
    <t xml:space="preserve">Shree Deshraj </t>
  </si>
  <si>
    <t>Raghubansh Singh</t>
  </si>
  <si>
    <t xml:space="preserve"> 6930677178</t>
  </si>
  <si>
    <t>RAJESH PRASAD</t>
  </si>
  <si>
    <t>Ajay Kumar Yadav</t>
  </si>
  <si>
    <t>NITYANAND</t>
  </si>
  <si>
    <t>PHOOL KUMAR</t>
  </si>
  <si>
    <t xml:space="preserve"> 6930791307</t>
  </si>
  <si>
    <t xml:space="preserve">100318167596 </t>
  </si>
  <si>
    <t xml:space="preserve"> 6930791285</t>
  </si>
  <si>
    <t xml:space="preserve">100097963194 </t>
  </si>
  <si>
    <t>100349286147</t>
  </si>
  <si>
    <t>1113412071</t>
  </si>
  <si>
    <t>DM003</t>
  </si>
  <si>
    <t>TANUJA BIST</t>
  </si>
  <si>
    <t>SHIB SINGH BIST</t>
  </si>
  <si>
    <t>100122458452</t>
  </si>
  <si>
    <t>SHAMSHER  SINGH</t>
  </si>
  <si>
    <t>Mangalam Mani</t>
  </si>
  <si>
    <t>Rudra Mani Dwivedi</t>
  </si>
  <si>
    <t>Vinod Kumar Pandey</t>
  </si>
  <si>
    <t>6931416548</t>
  </si>
  <si>
    <t>100717164145</t>
  </si>
  <si>
    <t>Grifols India Healthcare Pvt. Ltd</t>
  </si>
  <si>
    <t>Lenovo (India) Private Ltd</t>
  </si>
  <si>
    <t>Konica Minolta Business Solutions Pvt Lt</t>
  </si>
  <si>
    <t>IBM India Pvt Ltd</t>
  </si>
  <si>
    <t>AMO INDIA PVT. LTD. (SPL)</t>
  </si>
  <si>
    <t>EQUANT NETWORK SERVICES INDIA PVT. LTD.</t>
  </si>
  <si>
    <t>101499078337</t>
  </si>
  <si>
    <t>Bhupendra Kumar Maurya</t>
  </si>
  <si>
    <t xml:space="preserve"> Rohit Kumar</t>
  </si>
  <si>
    <t>Ramesh Singh</t>
  </si>
  <si>
    <t>100557231000</t>
  </si>
  <si>
    <t>Satyaveer Singh</t>
  </si>
  <si>
    <t>101736519228</t>
  </si>
  <si>
    <t>6931567582</t>
  </si>
  <si>
    <t>6931571603</t>
  </si>
  <si>
    <t>ASHISH KUMAR PANDEY</t>
  </si>
  <si>
    <t xml:space="preserve"> 6929385042</t>
  </si>
  <si>
    <t>101498334849</t>
  </si>
  <si>
    <t>SANTOSH SINGH</t>
  </si>
  <si>
    <t>Amit Kumar</t>
  </si>
  <si>
    <t>Mr Vinod Kumar Yadav</t>
  </si>
  <si>
    <t>CHANDRA BALI YADAV</t>
  </si>
  <si>
    <t>100413106269</t>
  </si>
  <si>
    <t>Executive – Service Logistic</t>
  </si>
  <si>
    <t>Abhishek Garg</t>
  </si>
  <si>
    <t>PRAVEEN KUMAR</t>
  </si>
  <si>
    <t>1323341099</t>
  </si>
  <si>
    <t>101280950233</t>
  </si>
  <si>
    <t>SANDEEP KUMAR</t>
  </si>
  <si>
    <t>PAPPU GUPTA</t>
  </si>
  <si>
    <t>Un-Skilled</t>
  </si>
  <si>
    <t>101565026724</t>
  </si>
  <si>
    <t>Amar Nath Singh</t>
  </si>
  <si>
    <t>SHAMSHER BAHADUR SINGH</t>
  </si>
  <si>
    <t xml:space="preserve">100549654527 </t>
  </si>
  <si>
    <t>Seema Singh</t>
  </si>
  <si>
    <t>01/10/2022</t>
  </si>
  <si>
    <t>101878744158</t>
  </si>
  <si>
    <t xml:space="preserve"> 6932857014</t>
  </si>
  <si>
    <t>Rupesh</t>
  </si>
  <si>
    <t>Rambabu</t>
  </si>
  <si>
    <t>Skilled</t>
  </si>
  <si>
    <t>101394658472</t>
  </si>
  <si>
    <t>6928426482</t>
  </si>
  <si>
    <t>Jeet Kumar</t>
  </si>
  <si>
    <t>SHANTI  PRAKASH SHARMA</t>
  </si>
  <si>
    <t xml:space="preserve"> 100180159683</t>
  </si>
  <si>
    <t>6928479189</t>
  </si>
  <si>
    <t>Bintu</t>
  </si>
  <si>
    <t>Pooran</t>
  </si>
  <si>
    <t>101446145797</t>
  </si>
  <si>
    <t xml:space="preserve"> 6928993294</t>
  </si>
  <si>
    <t>Yogendra Bhandari</t>
  </si>
  <si>
    <t>Khushal Singh Bhandari</t>
  </si>
  <si>
    <t>101461507685</t>
  </si>
  <si>
    <t xml:space="preserve"> 6929095603</t>
  </si>
  <si>
    <t>Sanjay Kumar</t>
  </si>
  <si>
    <t>Hari Nath</t>
  </si>
  <si>
    <t>101253499713</t>
  </si>
  <si>
    <t xml:space="preserve"> 6928731467</t>
  </si>
  <si>
    <t>MUKESH KUMAR</t>
  </si>
  <si>
    <t>RAMCHARAN THAKUR</t>
  </si>
  <si>
    <t>101477938441</t>
  </si>
  <si>
    <t xml:space="preserve"> 6929248765</t>
  </si>
  <si>
    <t>JITENDER UPPAL</t>
  </si>
  <si>
    <t>SURJIT SINGH</t>
  </si>
  <si>
    <t>101477938456</t>
  </si>
  <si>
    <t xml:space="preserve"> 6929248778</t>
  </si>
  <si>
    <t>AJAY KUMAR</t>
  </si>
  <si>
    <t>PANCHM LAL</t>
  </si>
  <si>
    <t>101477938460</t>
  </si>
  <si>
    <t xml:space="preserve"> 6929248808</t>
  </si>
  <si>
    <t>BALAJI GOND</t>
  </si>
  <si>
    <t>DINESH GOND</t>
  </si>
  <si>
    <t>101477938473</t>
  </si>
  <si>
    <t xml:space="preserve"> 6929248844</t>
  </si>
  <si>
    <t>MD RAFI UDDIN</t>
  </si>
  <si>
    <t>MD SHARIF UDDIN</t>
  </si>
  <si>
    <t>100242079195</t>
  </si>
  <si>
    <t xml:space="preserve"> 6929518129</t>
  </si>
  <si>
    <t>SAIYED ALTMAS</t>
  </si>
  <si>
    <t>SAIYED AHSAN</t>
  </si>
  <si>
    <t>101517213801</t>
  </si>
  <si>
    <t xml:space="preserve"> 6929554190</t>
  </si>
  <si>
    <t>MD ARSHAD</t>
  </si>
  <si>
    <t>MD AINUL</t>
  </si>
  <si>
    <t>07/07/2020</t>
  </si>
  <si>
    <t>101592668617</t>
  </si>
  <si>
    <t xml:space="preserve"> 6930199643</t>
  </si>
  <si>
    <t>Prince Kumar</t>
  </si>
  <si>
    <t>MAHESHWAR NATH UPADHAYAY</t>
  </si>
  <si>
    <t xml:space="preserve">101247009838 </t>
  </si>
  <si>
    <t xml:space="preserve"> 6930560956</t>
  </si>
  <si>
    <t>MAGENDER KUMAR</t>
  </si>
  <si>
    <t>YAS PAL SINGH</t>
  </si>
  <si>
    <t>MH</t>
  </si>
  <si>
    <t>100930558247</t>
  </si>
  <si>
    <t xml:space="preserve"> 6929289346</t>
  </si>
  <si>
    <t>HARDEEP</t>
  </si>
  <si>
    <t>100948837214</t>
  </si>
  <si>
    <t xml:space="preserve"> 6929289358</t>
  </si>
  <si>
    <t>Sachin  Chopra</t>
  </si>
  <si>
    <t>Ravinder Chopra</t>
  </si>
  <si>
    <t>Executive.</t>
  </si>
  <si>
    <t>101390948729</t>
  </si>
  <si>
    <t>N/A</t>
  </si>
  <si>
    <t xml:space="preserve">Ankit  Singh </t>
  </si>
  <si>
    <t>27/01/2023</t>
  </si>
  <si>
    <t>Deo</t>
  </si>
  <si>
    <t>Ravinder Kaushik</t>
  </si>
  <si>
    <t>23/01/2023</t>
  </si>
  <si>
    <t>DM0001</t>
  </si>
  <si>
    <t>Amit Thakur</t>
  </si>
  <si>
    <t>Mahesh Kumar</t>
  </si>
  <si>
    <t>101913983771</t>
  </si>
  <si>
    <t xml:space="preserve"> 6933208023</t>
  </si>
  <si>
    <t xml:space="preserve">100862957119 </t>
  </si>
  <si>
    <t xml:space="preserve">Karan Singh Kaushik </t>
  </si>
  <si>
    <t>6929916433</t>
  </si>
</sst>
</file>

<file path=xl/styles.xml><?xml version="1.0" encoding="utf-8"?>
<styleSheet xmlns="http://schemas.openxmlformats.org/spreadsheetml/2006/main">
  <numFmts count="3">
    <numFmt numFmtId="164" formatCode="d/mmm/yy;@"/>
    <numFmt numFmtId="165" formatCode="mmmm/yyyy"/>
    <numFmt numFmtId="166" formatCode="[$-409]d/mmm/yy;@"/>
  </numFmts>
  <fonts count="14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8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rgb="FF000000"/>
      <name val="Verdana"/>
      <family val="2"/>
    </font>
    <font>
      <sz val="8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7">
    <xf numFmtId="0" fontId="0" fillId="0" borderId="0"/>
    <xf numFmtId="0" fontId="5" fillId="0" borderId="0"/>
    <xf numFmtId="164" fontId="5" fillId="0" borderId="0" applyFill="0" applyBorder="0" applyAlignment="0" applyProtection="0"/>
    <xf numFmtId="0" fontId="5" fillId="0" borderId="0"/>
    <xf numFmtId="0" fontId="1" fillId="0" borderId="0"/>
    <xf numFmtId="0" fontId="8" fillId="0" borderId="0"/>
    <xf numFmtId="0" fontId="7" fillId="0" borderId="0"/>
  </cellStyleXfs>
  <cellXfs count="100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4" fillId="0" borderId="1" xfId="0" applyFont="1" applyBorder="1" applyAlignment="1">
      <alignment horizontal="left" vertical="top"/>
    </xf>
    <xf numFmtId="1" fontId="0" fillId="0" borderId="1" xfId="0" applyNumberFormat="1" applyBorder="1"/>
    <xf numFmtId="14" fontId="0" fillId="0" borderId="1" xfId="0" applyNumberFormat="1" applyBorder="1"/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center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4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1" xfId="0" applyNumberFormat="1" applyFont="1" applyBorder="1" applyProtection="1">
      <protection locked="0"/>
    </xf>
    <xf numFmtId="0" fontId="2" fillId="0" borderId="0" xfId="0" applyFont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2" fillId="11" borderId="5" xfId="0" applyFont="1" applyFill="1" applyBorder="1" applyAlignment="1">
      <alignment horizontal="center" vertical="center" wrapText="1"/>
    </xf>
    <xf numFmtId="1" fontId="2" fillId="0" borderId="1" xfId="0" applyNumberFormat="1" applyFont="1" applyBorder="1"/>
    <xf numFmtId="0" fontId="2" fillId="2" borderId="0" xfId="0" applyFont="1" applyFill="1" applyAlignment="1" applyProtection="1">
      <alignment horizontal="center" vertical="center" wrapText="1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49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12" borderId="0" xfId="0" quotePrefix="1" applyFill="1" applyAlignment="1">
      <alignment horizontal="center"/>
    </xf>
    <xf numFmtId="0" fontId="0" fillId="0" borderId="0" xfId="0" quotePrefix="1" applyAlignment="1">
      <alignment horizontal="center"/>
    </xf>
    <xf numFmtId="1" fontId="2" fillId="0" borderId="0" xfId="0" applyNumberFormat="1" applyFont="1" applyProtection="1">
      <protection locked="0"/>
    </xf>
    <xf numFmtId="1" fontId="0" fillId="0" borderId="0" xfId="0" applyNumberFormat="1"/>
    <xf numFmtId="0" fontId="7" fillId="0" borderId="0" xfId="0" applyFont="1" applyProtection="1"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166" fontId="0" fillId="0" borderId="0" xfId="0" applyNumberFormat="1"/>
    <xf numFmtId="0" fontId="0" fillId="0" borderId="0" xfId="0" applyAlignment="1" applyProtection="1">
      <alignment horizontal="left"/>
      <protection locked="0"/>
    </xf>
    <xf numFmtId="0" fontId="9" fillId="0" borderId="0" xfId="0" quotePrefix="1" applyFont="1" applyAlignment="1">
      <alignment horizontal="left"/>
    </xf>
    <xf numFmtId="0" fontId="0" fillId="0" borderId="1" xfId="0" applyBorder="1" applyAlignment="1" applyProtection="1">
      <alignment horizontal="left"/>
      <protection locked="0"/>
    </xf>
    <xf numFmtId="14" fontId="10" fillId="0" borderId="1" xfId="0" applyNumberFormat="1" applyFont="1" applyBorder="1" applyAlignment="1">
      <alignment horizontal="right"/>
    </xf>
    <xf numFmtId="0" fontId="0" fillId="0" borderId="1" xfId="0" applyNumberFormat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12" borderId="1" xfId="0" applyNumberFormat="1" applyFill="1" applyBorder="1" applyAlignment="1" applyProtection="1">
      <alignment horizontal="center"/>
      <protection locked="0"/>
    </xf>
    <xf numFmtId="0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Fill="1" applyBorder="1"/>
    <xf numFmtId="0" fontId="1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center"/>
      <protection locked="0"/>
    </xf>
    <xf numFmtId="0" fontId="10" fillId="0" borderId="1" xfId="0" applyFont="1" applyBorder="1"/>
    <xf numFmtId="0" fontId="0" fillId="0" borderId="1" xfId="0" quotePrefix="1" applyBorder="1"/>
    <xf numFmtId="0" fontId="9" fillId="0" borderId="1" xfId="0" quotePrefix="1" applyFont="1" applyFill="1" applyBorder="1" applyAlignment="1">
      <alignment horizontal="left"/>
    </xf>
    <xf numFmtId="0" fontId="12" fillId="0" borderId="1" xfId="0" applyFont="1" applyFill="1" applyBorder="1" applyAlignment="1">
      <alignment vertical="center" wrapText="1"/>
    </xf>
    <xf numFmtId="14" fontId="0" fillId="0" borderId="1" xfId="0" applyNumberFormat="1" applyFill="1" applyBorder="1" applyAlignment="1">
      <alignment horizontal="center"/>
    </xf>
    <xf numFmtId="49" fontId="12" fillId="0" borderId="1" xfId="0" applyNumberFormat="1" applyFont="1" applyFill="1" applyBorder="1" applyAlignment="1">
      <alignment vertical="center" wrapText="1"/>
    </xf>
    <xf numFmtId="0" fontId="0" fillId="0" borderId="0" xfId="0" applyBorder="1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49" fontId="0" fillId="0" borderId="0" xfId="0" applyNumberFormat="1" applyBorder="1" applyAlignment="1" applyProtection="1">
      <alignment horizontal="center"/>
      <protection locked="0"/>
    </xf>
    <xf numFmtId="14" fontId="0" fillId="0" borderId="0" xfId="0" applyNumberFormat="1" applyBorder="1" applyProtection="1">
      <protection locked="0"/>
    </xf>
    <xf numFmtId="0" fontId="7" fillId="0" borderId="1" xfId="0" applyFont="1" applyBorder="1" applyProtection="1">
      <protection locked="0"/>
    </xf>
    <xf numFmtId="14" fontId="7" fillId="0" borderId="1" xfId="0" applyNumberFormat="1" applyFont="1" applyBorder="1" applyProtection="1">
      <protection locked="0"/>
    </xf>
    <xf numFmtId="0" fontId="7" fillId="0" borderId="0" xfId="0" applyFont="1" applyBorder="1" applyProtection="1">
      <protection locked="0"/>
    </xf>
    <xf numFmtId="14" fontId="7" fillId="0" borderId="0" xfId="0" applyNumberFormat="1" applyFont="1" applyBorder="1" applyProtection="1">
      <protection locked="0"/>
    </xf>
    <xf numFmtId="0" fontId="0" fillId="0" borderId="0" xfId="0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0" fontId="0" fillId="0" borderId="1" xfId="0" applyFill="1" applyBorder="1" applyAlignment="1">
      <alignment horizontal="left"/>
    </xf>
    <xf numFmtId="0" fontId="0" fillId="0" borderId="1" xfId="0" quotePrefix="1" applyFill="1" applyBorder="1" applyAlignment="1">
      <alignment horizontal="left"/>
    </xf>
    <xf numFmtId="0" fontId="7" fillId="0" borderId="1" xfId="0" applyFont="1" applyBorder="1"/>
    <xf numFmtId="0" fontId="13" fillId="0" borderId="6" xfId="0" applyFont="1" applyBorder="1" applyAlignment="1">
      <alignment vertical="top" wrapText="1" readingOrder="1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10" borderId="2" xfId="0" applyFont="1" applyFill="1" applyBorder="1" applyAlignment="1">
      <alignment horizontal="center"/>
    </xf>
    <xf numFmtId="0" fontId="2" fillId="10" borderId="3" xfId="0" applyFont="1" applyFill="1" applyBorder="1" applyAlignment="1">
      <alignment horizontal="center"/>
    </xf>
  </cellXfs>
  <cellStyles count="7">
    <cellStyle name="Comma 2" xfId="2"/>
    <cellStyle name="Normal" xfId="0" builtinId="0"/>
    <cellStyle name="Normal 2" xfId="1"/>
    <cellStyle name="Normal 2 2" xfId="3"/>
    <cellStyle name="Normal 3" xfId="5"/>
    <cellStyle name="Normal 31" xfId="4"/>
    <cellStyle name="Normal 7" xfId="6"/>
  </cellStyles>
  <dxfs count="7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A46"/>
  <sheetViews>
    <sheetView tabSelected="1" workbookViewId="0">
      <pane xSplit="7" ySplit="5" topLeftCell="H6" activePane="bottomRight" state="frozen"/>
      <selection pane="topRight"/>
      <selection pane="bottomLeft"/>
      <selection pane="bottomRight" activeCell="D6" sqref="D6"/>
    </sheetView>
  </sheetViews>
  <sheetFormatPr defaultColWidth="9.140625" defaultRowHeight="12.75"/>
  <cols>
    <col min="1" max="1" width="9.42578125" style="14" customWidth="1"/>
    <col min="2" max="2" width="14.85546875" style="14" bestFit="1" customWidth="1"/>
    <col min="3" max="3" width="7.7109375" style="15" hidden="1" customWidth="1"/>
    <col min="4" max="4" width="24.8554687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customWidth="1"/>
    <col min="19" max="20" width="10.85546875" style="15" customWidth="1"/>
    <col min="21" max="21" width="12" style="15" customWidth="1"/>
    <col min="22" max="22" width="10.85546875" style="15" customWidth="1"/>
    <col min="23" max="23" width="12" style="15" customWidth="1"/>
    <col min="24" max="24" width="10.85546875" style="15" customWidth="1"/>
    <col min="25" max="25" width="9.28515625" style="15" customWidth="1"/>
    <col min="26" max="26" width="10.85546875" style="15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2.85546875" style="15" bestFit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16384" width="9.140625" style="15"/>
  </cols>
  <sheetData>
    <row r="1" spans="1:44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44">
      <c r="A2" s="18" t="s">
        <v>3</v>
      </c>
      <c r="B2" s="19">
        <v>44958</v>
      </c>
      <c r="F2" s="17" t="s">
        <v>4</v>
      </c>
      <c r="G2" s="14">
        <v>25</v>
      </c>
      <c r="O2" s="14"/>
    </row>
    <row r="3" spans="1:44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44">
      <c r="A4" s="86" t="s">
        <v>9</v>
      </c>
      <c r="B4" s="86"/>
      <c r="C4" s="86"/>
      <c r="D4" s="86"/>
      <c r="E4" s="86"/>
      <c r="F4" s="86"/>
      <c r="G4" s="86"/>
      <c r="H4" s="86"/>
      <c r="I4" s="86"/>
      <c r="J4" s="86"/>
      <c r="K4" s="87" t="s">
        <v>10</v>
      </c>
      <c r="L4" s="87"/>
      <c r="M4" s="87"/>
      <c r="N4" s="87"/>
      <c r="O4" s="87"/>
      <c r="P4" s="88" t="s">
        <v>11</v>
      </c>
      <c r="Q4" s="88"/>
      <c r="R4" s="88"/>
      <c r="S4" s="88"/>
      <c r="T4" s="88"/>
      <c r="U4" s="89" t="s">
        <v>12</v>
      </c>
      <c r="V4" s="89"/>
      <c r="W4" s="89"/>
      <c r="X4" s="89"/>
      <c r="Y4" s="89"/>
      <c r="Z4" s="89"/>
      <c r="AA4" s="89"/>
      <c r="AB4" s="89"/>
      <c r="AC4" s="90" t="s">
        <v>13</v>
      </c>
      <c r="AD4" s="90"/>
      <c r="AE4" s="90"/>
      <c r="AF4" s="80" t="s">
        <v>14</v>
      </c>
      <c r="AG4" s="91" t="s">
        <v>15</v>
      </c>
      <c r="AH4" s="91"/>
      <c r="AI4" s="91"/>
      <c r="AJ4" s="91"/>
      <c r="AK4" s="91"/>
      <c r="AL4" s="91"/>
      <c r="AM4" s="91"/>
      <c r="AN4" s="91"/>
      <c r="AO4" s="91"/>
      <c r="AP4" s="85" t="s">
        <v>16</v>
      </c>
      <c r="AQ4" s="85"/>
      <c r="AR4" s="85"/>
    </row>
    <row r="5" spans="1:44" s="12" customFormat="1" ht="89.2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</row>
    <row r="6" spans="1:44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5" t="s">
        <v>161</v>
      </c>
      <c r="I6" s="35" t="s">
        <v>72</v>
      </c>
      <c r="J6" s="35">
        <v>6928679453</v>
      </c>
      <c r="K6" s="6">
        <v>24</v>
      </c>
      <c r="L6" s="6">
        <v>13</v>
      </c>
      <c r="M6" s="6">
        <v>0</v>
      </c>
      <c r="N6" s="6">
        <v>0</v>
      </c>
      <c r="O6" s="6">
        <f t="shared" ref="O6" si="0">SUM(L6:N6)</f>
        <v>13</v>
      </c>
      <c r="P6" s="21">
        <v>16792</v>
      </c>
      <c r="Q6" s="21">
        <v>0</v>
      </c>
      <c r="R6" s="21">
        <v>0</v>
      </c>
      <c r="S6" s="6">
        <v>0</v>
      </c>
      <c r="T6" s="6">
        <f t="shared" ref="T6:T14" si="1">ROUND(SUM(P6:S6),0)</f>
        <v>16792</v>
      </c>
      <c r="U6" s="6">
        <f t="shared" ref="U6:X23" si="2">ROUND(P6/$K6*$O6,0)</f>
        <v>9096</v>
      </c>
      <c r="V6" s="6">
        <f t="shared" si="2"/>
        <v>0</v>
      </c>
      <c r="W6" s="6">
        <f t="shared" si="2"/>
        <v>0</v>
      </c>
      <c r="X6" s="6">
        <f t="shared" si="2"/>
        <v>0</v>
      </c>
      <c r="Y6" s="6">
        <f t="shared" ref="Y6:Y37" si="3">ROUND(SUM(U6:X6),0)</f>
        <v>9096</v>
      </c>
      <c r="Z6" s="6">
        <f t="shared" ref="Z6:Z37" si="4">ROUND(U6*8.33/100,0)</f>
        <v>758</v>
      </c>
      <c r="AA6" s="6">
        <f t="shared" ref="AA6:AA37" si="5">ROUND(Y6*5.76%,0)</f>
        <v>524</v>
      </c>
      <c r="AB6" s="4">
        <f t="shared" ref="AB6:AB37" si="6">Y6+AA6+Z6</f>
        <v>10378</v>
      </c>
      <c r="AC6" s="4">
        <f t="shared" ref="AC6:AC39" si="7">ROUNDUP(IF(T6&gt;21000,0,AB6*0.75%),0)</f>
        <v>78</v>
      </c>
      <c r="AD6" s="24">
        <f t="shared" ref="AD6:AD37" si="8">ROUND(AB6-V6-Z6,)*12%</f>
        <v>1154.3999999999999</v>
      </c>
      <c r="AE6" s="4">
        <v>1</v>
      </c>
      <c r="AF6" s="4">
        <f t="shared" ref="AF6:AF41" si="9">ROUND((AB6+AK6)-(AC6+AD6+AE6),0)</f>
        <v>9145</v>
      </c>
      <c r="AG6" s="55">
        <f>ROUNDUP(IF((T6)&gt;21000,0,AB6*3.25%),0)</f>
        <v>338</v>
      </c>
      <c r="AH6" s="24">
        <f t="shared" ref="AH6:AH14" si="10">ROUND(AB6-V6-Z6,0)*13%</f>
        <v>1250.6000000000001</v>
      </c>
      <c r="AI6" s="6">
        <v>2</v>
      </c>
      <c r="AJ6" s="4">
        <f t="shared" ref="AJ6:AJ41" si="11">ROUND(175/K6*O6,0)</f>
        <v>95</v>
      </c>
      <c r="AK6" s="6"/>
      <c r="AL6" s="6">
        <v>0</v>
      </c>
      <c r="AM6" s="24">
        <f t="shared" ref="AM6:AM41" si="12">SUM(AG6:AL6)</f>
        <v>1685.6000000000001</v>
      </c>
      <c r="AN6" s="24">
        <f t="shared" ref="AN6:AN14" si="13">AB6+AM6</f>
        <v>12063.6</v>
      </c>
      <c r="AO6" s="24">
        <f t="shared" ref="AO6:AO14" si="14">ROUND(600/K6*O6,0)</f>
        <v>325</v>
      </c>
      <c r="AP6" s="24">
        <f t="shared" ref="AP6:AP14" si="15">AN6+AO6</f>
        <v>12388.6</v>
      </c>
      <c r="AQ6" s="24">
        <f t="shared" ref="AQ6:AQ14" si="16">ROUND(AP6*18%,0)</f>
        <v>2230</v>
      </c>
      <c r="AR6" s="24">
        <f t="shared" ref="AR6:AR14" si="17">AP6+AQ6</f>
        <v>14618.6</v>
      </c>
    </row>
    <row r="7" spans="1:44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5" t="s">
        <v>67</v>
      </c>
      <c r="I7" s="35" t="s">
        <v>123</v>
      </c>
      <c r="J7" s="35" t="s">
        <v>122</v>
      </c>
      <c r="K7" s="6">
        <v>24</v>
      </c>
      <c r="L7" s="6">
        <v>20</v>
      </c>
      <c r="M7" s="6">
        <v>0</v>
      </c>
      <c r="N7" s="6">
        <v>0</v>
      </c>
      <c r="O7" s="6">
        <f t="shared" ref="O7:O41" si="18">SUM(L7:N7)</f>
        <v>20</v>
      </c>
      <c r="P7" s="21">
        <v>18693</v>
      </c>
      <c r="Q7" s="21">
        <v>1018.6000000000001</v>
      </c>
      <c r="R7" s="21">
        <v>0</v>
      </c>
      <c r="S7" s="6">
        <v>0</v>
      </c>
      <c r="T7" s="6">
        <f t="shared" si="1"/>
        <v>19712</v>
      </c>
      <c r="U7" s="6">
        <f t="shared" si="2"/>
        <v>15578</v>
      </c>
      <c r="V7" s="6">
        <f t="shared" si="2"/>
        <v>849</v>
      </c>
      <c r="W7" s="6">
        <f t="shared" si="2"/>
        <v>0</v>
      </c>
      <c r="X7" s="6">
        <f t="shared" si="2"/>
        <v>0</v>
      </c>
      <c r="Y7" s="6">
        <f t="shared" si="3"/>
        <v>16427</v>
      </c>
      <c r="Z7" s="6">
        <f t="shared" si="4"/>
        <v>1298</v>
      </c>
      <c r="AA7" s="6">
        <f t="shared" si="5"/>
        <v>946</v>
      </c>
      <c r="AB7" s="4">
        <f t="shared" si="6"/>
        <v>18671</v>
      </c>
      <c r="AC7" s="4">
        <f t="shared" si="7"/>
        <v>141</v>
      </c>
      <c r="AD7" s="24">
        <f t="shared" si="8"/>
        <v>1982.8799999999999</v>
      </c>
      <c r="AE7" s="4">
        <v>1</v>
      </c>
      <c r="AF7" s="4">
        <f t="shared" si="9"/>
        <v>16546</v>
      </c>
      <c r="AG7" s="55">
        <f t="shared" ref="AG7:AG41" si="19">ROUNDUP(IF((T7)&gt;21000,0,AB7*3.25%),0)</f>
        <v>607</v>
      </c>
      <c r="AH7" s="24">
        <f t="shared" si="10"/>
        <v>2148.12</v>
      </c>
      <c r="AI7" s="6">
        <v>2</v>
      </c>
      <c r="AJ7" s="4">
        <f t="shared" si="11"/>
        <v>146</v>
      </c>
      <c r="AK7" s="6"/>
      <c r="AL7" s="6">
        <v>0</v>
      </c>
      <c r="AM7" s="24">
        <f t="shared" si="12"/>
        <v>2903.12</v>
      </c>
      <c r="AN7" s="24">
        <f t="shared" si="13"/>
        <v>21574.12</v>
      </c>
      <c r="AO7" s="24">
        <f t="shared" si="14"/>
        <v>500</v>
      </c>
      <c r="AP7" s="24">
        <f t="shared" si="15"/>
        <v>22074.12</v>
      </c>
      <c r="AQ7" s="24">
        <f t="shared" si="16"/>
        <v>3973</v>
      </c>
      <c r="AR7" s="25">
        <f t="shared" si="17"/>
        <v>26047.119999999999</v>
      </c>
    </row>
    <row r="8" spans="1:44">
      <c r="A8" s="6">
        <v>3</v>
      </c>
      <c r="B8" s="37">
        <v>3562043320</v>
      </c>
      <c r="C8" s="6"/>
      <c r="D8" s="4" t="s">
        <v>124</v>
      </c>
      <c r="E8" s="4" t="s">
        <v>127</v>
      </c>
      <c r="F8" s="5" t="s">
        <v>128</v>
      </c>
      <c r="G8" s="5" t="s">
        <v>66</v>
      </c>
      <c r="H8" s="5" t="s">
        <v>164</v>
      </c>
      <c r="I8" s="35" t="s">
        <v>149</v>
      </c>
      <c r="J8" s="35" t="s">
        <v>150</v>
      </c>
      <c r="K8" s="6">
        <v>24</v>
      </c>
      <c r="L8" s="6">
        <v>21</v>
      </c>
      <c r="M8" s="6">
        <v>0</v>
      </c>
      <c r="N8" s="6">
        <v>0</v>
      </c>
      <c r="O8" s="6">
        <f t="shared" si="18"/>
        <v>21</v>
      </c>
      <c r="P8" s="21">
        <v>18702</v>
      </c>
      <c r="Q8" s="21">
        <v>0</v>
      </c>
      <c r="R8" s="21">
        <v>0</v>
      </c>
      <c r="S8" s="6">
        <v>0</v>
      </c>
      <c r="T8" s="6">
        <f t="shared" si="1"/>
        <v>18702</v>
      </c>
      <c r="U8" s="6">
        <f t="shared" si="2"/>
        <v>16364</v>
      </c>
      <c r="V8" s="6">
        <f t="shared" si="2"/>
        <v>0</v>
      </c>
      <c r="W8" s="6">
        <f t="shared" si="2"/>
        <v>0</v>
      </c>
      <c r="X8" s="6">
        <f t="shared" si="2"/>
        <v>0</v>
      </c>
      <c r="Y8" s="6">
        <f t="shared" si="3"/>
        <v>16364</v>
      </c>
      <c r="Z8" s="6">
        <f t="shared" si="4"/>
        <v>1363</v>
      </c>
      <c r="AA8" s="6">
        <f t="shared" si="5"/>
        <v>943</v>
      </c>
      <c r="AB8" s="4">
        <f t="shared" si="6"/>
        <v>18670</v>
      </c>
      <c r="AC8" s="4">
        <f t="shared" si="7"/>
        <v>141</v>
      </c>
      <c r="AD8" s="24">
        <f t="shared" si="8"/>
        <v>2076.84</v>
      </c>
      <c r="AE8" s="4">
        <v>1</v>
      </c>
      <c r="AF8" s="4">
        <f t="shared" si="9"/>
        <v>16451</v>
      </c>
      <c r="AG8" s="55">
        <f t="shared" si="19"/>
        <v>607</v>
      </c>
      <c r="AH8" s="24">
        <f t="shared" si="10"/>
        <v>2249.91</v>
      </c>
      <c r="AI8" s="6">
        <v>2</v>
      </c>
      <c r="AJ8" s="4">
        <f t="shared" si="11"/>
        <v>153</v>
      </c>
      <c r="AK8" s="6"/>
      <c r="AL8" s="6">
        <v>0</v>
      </c>
      <c r="AM8" s="24">
        <f t="shared" si="12"/>
        <v>3011.91</v>
      </c>
      <c r="AN8" s="24">
        <f t="shared" si="13"/>
        <v>21681.91</v>
      </c>
      <c r="AO8" s="24">
        <f t="shared" si="14"/>
        <v>525</v>
      </c>
      <c r="AP8" s="24">
        <f t="shared" si="15"/>
        <v>22206.91</v>
      </c>
      <c r="AQ8" s="24">
        <f t="shared" si="16"/>
        <v>3997</v>
      </c>
      <c r="AR8" s="25">
        <f t="shared" si="17"/>
        <v>26203.91</v>
      </c>
    </row>
    <row r="9" spans="1:44">
      <c r="A9" s="6">
        <v>4</v>
      </c>
      <c r="B9" s="37">
        <v>3562043319</v>
      </c>
      <c r="C9" s="6"/>
      <c r="D9" s="4" t="s">
        <v>125</v>
      </c>
      <c r="E9" s="4" t="s">
        <v>126</v>
      </c>
      <c r="F9" s="5" t="s">
        <v>128</v>
      </c>
      <c r="G9" s="5" t="s">
        <v>66</v>
      </c>
      <c r="H9" s="5" t="s">
        <v>164</v>
      </c>
      <c r="I9" s="35" t="s">
        <v>154</v>
      </c>
      <c r="J9" s="35" t="s">
        <v>140</v>
      </c>
      <c r="K9" s="6">
        <v>24</v>
      </c>
      <c r="L9" s="6">
        <v>14</v>
      </c>
      <c r="M9" s="6">
        <v>0</v>
      </c>
      <c r="N9" s="6">
        <v>0</v>
      </c>
      <c r="O9" s="6">
        <f t="shared" si="18"/>
        <v>14</v>
      </c>
      <c r="P9" s="21">
        <v>18693</v>
      </c>
      <c r="Q9" s="21">
        <v>211.15999999999985</v>
      </c>
      <c r="R9" s="21">
        <v>0</v>
      </c>
      <c r="S9" s="6">
        <v>0</v>
      </c>
      <c r="T9" s="6">
        <f t="shared" si="1"/>
        <v>18904</v>
      </c>
      <c r="U9" s="6">
        <f t="shared" si="2"/>
        <v>10904</v>
      </c>
      <c r="V9" s="6">
        <f t="shared" si="2"/>
        <v>123</v>
      </c>
      <c r="W9" s="6">
        <f t="shared" si="2"/>
        <v>0</v>
      </c>
      <c r="X9" s="6">
        <f t="shared" si="2"/>
        <v>0</v>
      </c>
      <c r="Y9" s="6">
        <f t="shared" si="3"/>
        <v>11027</v>
      </c>
      <c r="Z9" s="6">
        <f t="shared" si="4"/>
        <v>908</v>
      </c>
      <c r="AA9" s="6">
        <f t="shared" si="5"/>
        <v>635</v>
      </c>
      <c r="AB9" s="4">
        <f t="shared" si="6"/>
        <v>12570</v>
      </c>
      <c r="AC9" s="4">
        <f t="shared" si="7"/>
        <v>95</v>
      </c>
      <c r="AD9" s="24">
        <f t="shared" si="8"/>
        <v>1384.6799999999998</v>
      </c>
      <c r="AE9" s="4">
        <v>1</v>
      </c>
      <c r="AF9" s="4">
        <f t="shared" si="9"/>
        <v>11089</v>
      </c>
      <c r="AG9" s="55">
        <f t="shared" si="19"/>
        <v>409</v>
      </c>
      <c r="AH9" s="24">
        <f t="shared" si="10"/>
        <v>1500.0700000000002</v>
      </c>
      <c r="AI9" s="6">
        <v>2</v>
      </c>
      <c r="AJ9" s="4">
        <f t="shared" si="11"/>
        <v>102</v>
      </c>
      <c r="AK9" s="6"/>
      <c r="AL9" s="6">
        <v>0</v>
      </c>
      <c r="AM9" s="24">
        <f t="shared" si="12"/>
        <v>2013.0700000000002</v>
      </c>
      <c r="AN9" s="24">
        <f t="shared" si="13"/>
        <v>14583.07</v>
      </c>
      <c r="AO9" s="24">
        <f t="shared" si="14"/>
        <v>350</v>
      </c>
      <c r="AP9" s="24">
        <f t="shared" si="15"/>
        <v>14933.07</v>
      </c>
      <c r="AQ9" s="24">
        <f t="shared" si="16"/>
        <v>2688</v>
      </c>
      <c r="AR9" s="25">
        <f t="shared" si="17"/>
        <v>17621.07</v>
      </c>
    </row>
    <row r="10" spans="1:44">
      <c r="A10" s="6">
        <v>5</v>
      </c>
      <c r="B10" s="37">
        <v>3562043515</v>
      </c>
      <c r="C10" s="6"/>
      <c r="D10" s="4" t="s">
        <v>131</v>
      </c>
      <c r="E10" s="4" t="s">
        <v>134</v>
      </c>
      <c r="F10" s="5">
        <v>44188</v>
      </c>
      <c r="G10" s="5" t="s">
        <v>129</v>
      </c>
      <c r="H10" s="5" t="s">
        <v>163</v>
      </c>
      <c r="I10" s="35" t="s">
        <v>135</v>
      </c>
      <c r="J10" s="35">
        <v>1320146035</v>
      </c>
      <c r="K10" s="6">
        <v>24</v>
      </c>
      <c r="L10" s="6">
        <v>23.5</v>
      </c>
      <c r="M10" s="6">
        <v>0</v>
      </c>
      <c r="N10" s="6">
        <v>0</v>
      </c>
      <c r="O10" s="6">
        <f t="shared" si="18"/>
        <v>23.5</v>
      </c>
      <c r="P10" s="21">
        <v>16792</v>
      </c>
      <c r="Q10" s="21">
        <v>0</v>
      </c>
      <c r="R10" s="21">
        <v>0</v>
      </c>
      <c r="S10" s="6">
        <v>0</v>
      </c>
      <c r="T10" s="6">
        <f t="shared" si="1"/>
        <v>16792</v>
      </c>
      <c r="U10" s="6">
        <f t="shared" si="2"/>
        <v>16442</v>
      </c>
      <c r="V10" s="6">
        <f t="shared" si="2"/>
        <v>0</v>
      </c>
      <c r="W10" s="6">
        <f t="shared" si="2"/>
        <v>0</v>
      </c>
      <c r="X10" s="6">
        <f t="shared" si="2"/>
        <v>0</v>
      </c>
      <c r="Y10" s="6">
        <f t="shared" si="3"/>
        <v>16442</v>
      </c>
      <c r="Z10" s="6">
        <f t="shared" si="4"/>
        <v>1370</v>
      </c>
      <c r="AA10" s="6">
        <f t="shared" si="5"/>
        <v>947</v>
      </c>
      <c r="AB10" s="4">
        <f t="shared" si="6"/>
        <v>18759</v>
      </c>
      <c r="AC10" s="4">
        <f t="shared" si="7"/>
        <v>141</v>
      </c>
      <c r="AD10" s="24">
        <f t="shared" si="8"/>
        <v>2086.6799999999998</v>
      </c>
      <c r="AE10" s="4">
        <v>1</v>
      </c>
      <c r="AF10" s="4">
        <f t="shared" si="9"/>
        <v>16530</v>
      </c>
      <c r="AG10" s="55">
        <f t="shared" si="19"/>
        <v>610</v>
      </c>
      <c r="AH10" s="24">
        <f t="shared" si="10"/>
        <v>2260.5700000000002</v>
      </c>
      <c r="AI10" s="6">
        <v>2</v>
      </c>
      <c r="AJ10" s="4">
        <f t="shared" si="11"/>
        <v>171</v>
      </c>
      <c r="AK10" s="6"/>
      <c r="AL10" s="6">
        <v>0</v>
      </c>
      <c r="AM10" s="24">
        <f t="shared" si="12"/>
        <v>3043.57</v>
      </c>
      <c r="AN10" s="24">
        <f t="shared" si="13"/>
        <v>21802.57</v>
      </c>
      <c r="AO10" s="24">
        <f t="shared" si="14"/>
        <v>588</v>
      </c>
      <c r="AP10" s="24">
        <f t="shared" si="15"/>
        <v>22390.57</v>
      </c>
      <c r="AQ10" s="24">
        <f t="shared" si="16"/>
        <v>4030</v>
      </c>
      <c r="AR10" s="25">
        <f t="shared" si="17"/>
        <v>26420.57</v>
      </c>
    </row>
    <row r="11" spans="1:44">
      <c r="A11" s="6">
        <v>6</v>
      </c>
      <c r="B11" s="37">
        <v>3562044036</v>
      </c>
      <c r="C11" s="6"/>
      <c r="D11" s="4" t="s">
        <v>130</v>
      </c>
      <c r="E11" s="4" t="s">
        <v>138</v>
      </c>
      <c r="F11" s="38">
        <v>44193</v>
      </c>
      <c r="G11" s="5" t="s">
        <v>66</v>
      </c>
      <c r="H11" s="5" t="s">
        <v>164</v>
      </c>
      <c r="I11" s="35" t="s">
        <v>136</v>
      </c>
      <c r="J11" s="35">
        <v>1113547728</v>
      </c>
      <c r="K11" s="6">
        <v>24</v>
      </c>
      <c r="L11" s="6">
        <v>23</v>
      </c>
      <c r="M11" s="6">
        <v>0</v>
      </c>
      <c r="N11" s="6">
        <v>0</v>
      </c>
      <c r="O11" s="6">
        <f t="shared" si="18"/>
        <v>23</v>
      </c>
      <c r="P11" s="21">
        <v>19070</v>
      </c>
      <c r="Q11" s="21">
        <v>1614.4099999999999</v>
      </c>
      <c r="R11" s="21">
        <v>0</v>
      </c>
      <c r="S11" s="6">
        <v>0</v>
      </c>
      <c r="T11" s="6">
        <f t="shared" si="1"/>
        <v>20684</v>
      </c>
      <c r="U11" s="6">
        <f t="shared" si="2"/>
        <v>18275</v>
      </c>
      <c r="V11" s="6">
        <f t="shared" si="2"/>
        <v>1547</v>
      </c>
      <c r="W11" s="6">
        <f t="shared" si="2"/>
        <v>0</v>
      </c>
      <c r="X11" s="6">
        <f t="shared" si="2"/>
        <v>0</v>
      </c>
      <c r="Y11" s="6">
        <f t="shared" si="3"/>
        <v>19822</v>
      </c>
      <c r="Z11" s="6">
        <f t="shared" si="4"/>
        <v>1522</v>
      </c>
      <c r="AA11" s="6">
        <f t="shared" si="5"/>
        <v>1142</v>
      </c>
      <c r="AB11" s="4">
        <f t="shared" si="6"/>
        <v>22486</v>
      </c>
      <c r="AC11" s="4">
        <f t="shared" si="7"/>
        <v>169</v>
      </c>
      <c r="AD11" s="24">
        <f t="shared" si="8"/>
        <v>2330.04</v>
      </c>
      <c r="AE11" s="4">
        <v>1</v>
      </c>
      <c r="AF11" s="4">
        <f t="shared" si="9"/>
        <v>19986</v>
      </c>
      <c r="AG11" s="55">
        <f t="shared" si="19"/>
        <v>731</v>
      </c>
      <c r="AH11" s="24">
        <f t="shared" si="10"/>
        <v>2524.21</v>
      </c>
      <c r="AI11" s="6">
        <v>2</v>
      </c>
      <c r="AJ11" s="4">
        <f t="shared" si="11"/>
        <v>168</v>
      </c>
      <c r="AK11" s="6"/>
      <c r="AL11" s="6">
        <v>0</v>
      </c>
      <c r="AM11" s="24">
        <f t="shared" si="12"/>
        <v>3425.21</v>
      </c>
      <c r="AN11" s="24">
        <f t="shared" si="13"/>
        <v>25911.21</v>
      </c>
      <c r="AO11" s="24">
        <f t="shared" si="14"/>
        <v>575</v>
      </c>
      <c r="AP11" s="24">
        <f t="shared" si="15"/>
        <v>26486.21</v>
      </c>
      <c r="AQ11" s="24">
        <f t="shared" si="16"/>
        <v>4768</v>
      </c>
      <c r="AR11" s="25">
        <f t="shared" si="17"/>
        <v>31254.21</v>
      </c>
    </row>
    <row r="12" spans="1:44">
      <c r="A12" s="6">
        <v>7</v>
      </c>
      <c r="B12" s="37">
        <v>3562044037</v>
      </c>
      <c r="C12" s="6"/>
      <c r="D12" s="4" t="s">
        <v>155</v>
      </c>
      <c r="E12" s="4" t="s">
        <v>139</v>
      </c>
      <c r="F12" s="39">
        <v>44188</v>
      </c>
      <c r="G12" s="5" t="s">
        <v>132</v>
      </c>
      <c r="H12" s="5" t="s">
        <v>165</v>
      </c>
      <c r="I12" s="35" t="s">
        <v>137</v>
      </c>
      <c r="J12" s="35">
        <v>1320697173</v>
      </c>
      <c r="K12" s="6">
        <v>24</v>
      </c>
      <c r="L12" s="6">
        <v>22.5</v>
      </c>
      <c r="M12" s="6">
        <v>0</v>
      </c>
      <c r="N12" s="6">
        <v>0</v>
      </c>
      <c r="O12" s="6">
        <f t="shared" si="18"/>
        <v>22.5</v>
      </c>
      <c r="P12" s="21">
        <v>19070</v>
      </c>
      <c r="Q12" s="21">
        <v>537.25</v>
      </c>
      <c r="R12" s="21">
        <v>0</v>
      </c>
      <c r="S12" s="6">
        <v>0</v>
      </c>
      <c r="T12" s="6">
        <f t="shared" si="1"/>
        <v>19607</v>
      </c>
      <c r="U12" s="6">
        <f t="shared" si="2"/>
        <v>17878</v>
      </c>
      <c r="V12" s="6">
        <f t="shared" si="2"/>
        <v>504</v>
      </c>
      <c r="W12" s="6">
        <f t="shared" si="2"/>
        <v>0</v>
      </c>
      <c r="X12" s="6">
        <f t="shared" si="2"/>
        <v>0</v>
      </c>
      <c r="Y12" s="6">
        <f t="shared" si="3"/>
        <v>18382</v>
      </c>
      <c r="Z12" s="6">
        <f t="shared" si="4"/>
        <v>1489</v>
      </c>
      <c r="AA12" s="6">
        <f t="shared" si="5"/>
        <v>1059</v>
      </c>
      <c r="AB12" s="4">
        <f t="shared" si="6"/>
        <v>20930</v>
      </c>
      <c r="AC12" s="4">
        <f t="shared" si="7"/>
        <v>157</v>
      </c>
      <c r="AD12" s="24">
        <f t="shared" si="8"/>
        <v>2272.44</v>
      </c>
      <c r="AE12" s="4">
        <v>1</v>
      </c>
      <c r="AF12" s="4">
        <f t="shared" si="9"/>
        <v>18500</v>
      </c>
      <c r="AG12" s="55">
        <f t="shared" si="19"/>
        <v>681</v>
      </c>
      <c r="AH12" s="24">
        <f t="shared" si="10"/>
        <v>2461.81</v>
      </c>
      <c r="AI12" s="6">
        <v>2</v>
      </c>
      <c r="AJ12" s="4">
        <f t="shared" si="11"/>
        <v>164</v>
      </c>
      <c r="AK12" s="6"/>
      <c r="AL12" s="6">
        <v>0</v>
      </c>
      <c r="AM12" s="24">
        <f t="shared" si="12"/>
        <v>3308.81</v>
      </c>
      <c r="AN12" s="24">
        <f t="shared" si="13"/>
        <v>24238.81</v>
      </c>
      <c r="AO12" s="24">
        <f t="shared" si="14"/>
        <v>563</v>
      </c>
      <c r="AP12" s="24">
        <f t="shared" si="15"/>
        <v>24801.81</v>
      </c>
      <c r="AQ12" s="24">
        <f t="shared" si="16"/>
        <v>4464</v>
      </c>
      <c r="AR12" s="25">
        <f t="shared" si="17"/>
        <v>29265.81</v>
      </c>
    </row>
    <row r="13" spans="1:44">
      <c r="A13" s="6">
        <v>8</v>
      </c>
      <c r="B13" s="37">
        <v>3562044118</v>
      </c>
      <c r="C13" s="6"/>
      <c r="D13" s="4" t="s">
        <v>141</v>
      </c>
      <c r="E13" s="4" t="s">
        <v>143</v>
      </c>
      <c r="F13" s="39">
        <v>44207</v>
      </c>
      <c r="G13" s="5" t="s">
        <v>66</v>
      </c>
      <c r="H13" s="5" t="s">
        <v>164</v>
      </c>
      <c r="I13" s="35" t="s">
        <v>146</v>
      </c>
      <c r="J13" s="35" t="s">
        <v>145</v>
      </c>
      <c r="K13" s="6">
        <v>24</v>
      </c>
      <c r="L13" s="6">
        <v>24</v>
      </c>
      <c r="M13" s="6">
        <v>0</v>
      </c>
      <c r="N13" s="6">
        <v>0</v>
      </c>
      <c r="O13" s="6">
        <f t="shared" si="18"/>
        <v>24</v>
      </c>
      <c r="P13" s="21">
        <v>19070</v>
      </c>
      <c r="Q13" s="21">
        <v>5496.3</v>
      </c>
      <c r="R13" s="21">
        <v>0</v>
      </c>
      <c r="S13" s="6">
        <v>0</v>
      </c>
      <c r="T13" s="6">
        <f t="shared" si="1"/>
        <v>24566</v>
      </c>
      <c r="U13" s="6">
        <f t="shared" si="2"/>
        <v>19070</v>
      </c>
      <c r="V13" s="6">
        <f t="shared" si="2"/>
        <v>5496</v>
      </c>
      <c r="W13" s="6">
        <f t="shared" si="2"/>
        <v>0</v>
      </c>
      <c r="X13" s="6">
        <f t="shared" si="2"/>
        <v>0</v>
      </c>
      <c r="Y13" s="6">
        <f t="shared" si="3"/>
        <v>24566</v>
      </c>
      <c r="Z13" s="6">
        <f t="shared" si="4"/>
        <v>1589</v>
      </c>
      <c r="AA13" s="6">
        <f t="shared" si="5"/>
        <v>1415</v>
      </c>
      <c r="AB13" s="4">
        <f t="shared" si="6"/>
        <v>27570</v>
      </c>
      <c r="AC13" s="4">
        <f t="shared" si="7"/>
        <v>0</v>
      </c>
      <c r="AD13" s="24">
        <f t="shared" si="8"/>
        <v>2458.1999999999998</v>
      </c>
      <c r="AE13" s="4">
        <v>1</v>
      </c>
      <c r="AF13" s="4">
        <f t="shared" si="9"/>
        <v>25111</v>
      </c>
      <c r="AG13" s="55">
        <f t="shared" si="19"/>
        <v>0</v>
      </c>
      <c r="AH13" s="24">
        <f t="shared" si="10"/>
        <v>2663.05</v>
      </c>
      <c r="AI13" s="6">
        <v>2</v>
      </c>
      <c r="AJ13" s="4">
        <f t="shared" si="11"/>
        <v>175</v>
      </c>
      <c r="AK13" s="6"/>
      <c r="AL13" s="6">
        <v>600</v>
      </c>
      <c r="AM13" s="24">
        <f t="shared" si="12"/>
        <v>3440.05</v>
      </c>
      <c r="AN13" s="24">
        <f t="shared" si="13"/>
        <v>31010.05</v>
      </c>
      <c r="AO13" s="24">
        <f t="shared" si="14"/>
        <v>600</v>
      </c>
      <c r="AP13" s="24">
        <f t="shared" si="15"/>
        <v>31610.05</v>
      </c>
      <c r="AQ13" s="24">
        <f t="shared" si="16"/>
        <v>5690</v>
      </c>
      <c r="AR13" s="25">
        <f t="shared" si="17"/>
        <v>37300.050000000003</v>
      </c>
    </row>
    <row r="14" spans="1:44">
      <c r="A14" s="6">
        <v>9</v>
      </c>
      <c r="B14" s="37">
        <v>3562044119</v>
      </c>
      <c r="C14" s="6"/>
      <c r="D14" s="4" t="s">
        <v>142</v>
      </c>
      <c r="E14" s="4" t="s">
        <v>144</v>
      </c>
      <c r="F14" s="39">
        <v>44207</v>
      </c>
      <c r="G14" s="5" t="s">
        <v>66</v>
      </c>
      <c r="H14" s="5" t="s">
        <v>164</v>
      </c>
      <c r="I14" s="35" t="s">
        <v>148</v>
      </c>
      <c r="J14" s="35" t="s">
        <v>147</v>
      </c>
      <c r="K14" s="6">
        <v>24</v>
      </c>
      <c r="L14" s="6">
        <v>24</v>
      </c>
      <c r="M14" s="6">
        <v>0</v>
      </c>
      <c r="N14" s="6">
        <v>0</v>
      </c>
      <c r="O14" s="6">
        <f t="shared" si="18"/>
        <v>24</v>
      </c>
      <c r="P14" s="21">
        <v>19070</v>
      </c>
      <c r="Q14" s="21">
        <v>3891</v>
      </c>
      <c r="R14" s="21">
        <v>0</v>
      </c>
      <c r="S14" s="6">
        <v>0</v>
      </c>
      <c r="T14" s="6">
        <f t="shared" si="1"/>
        <v>22961</v>
      </c>
      <c r="U14" s="6">
        <f t="shared" si="2"/>
        <v>19070</v>
      </c>
      <c r="V14" s="6">
        <f t="shared" si="2"/>
        <v>3891</v>
      </c>
      <c r="W14" s="6">
        <f t="shared" si="2"/>
        <v>0</v>
      </c>
      <c r="X14" s="6">
        <f t="shared" si="2"/>
        <v>0</v>
      </c>
      <c r="Y14" s="6">
        <f t="shared" si="3"/>
        <v>22961</v>
      </c>
      <c r="Z14" s="6">
        <f t="shared" si="4"/>
        <v>1589</v>
      </c>
      <c r="AA14" s="6">
        <f t="shared" si="5"/>
        <v>1323</v>
      </c>
      <c r="AB14" s="4">
        <f t="shared" si="6"/>
        <v>25873</v>
      </c>
      <c r="AC14" s="4">
        <f t="shared" si="7"/>
        <v>0</v>
      </c>
      <c r="AD14" s="24">
        <f t="shared" si="8"/>
        <v>2447.16</v>
      </c>
      <c r="AE14" s="4">
        <v>1</v>
      </c>
      <c r="AF14" s="4">
        <f t="shared" si="9"/>
        <v>23425</v>
      </c>
      <c r="AG14" s="55">
        <f t="shared" si="19"/>
        <v>0</v>
      </c>
      <c r="AH14" s="24">
        <f t="shared" si="10"/>
        <v>2651.09</v>
      </c>
      <c r="AI14" s="6">
        <v>2</v>
      </c>
      <c r="AJ14" s="4">
        <f t="shared" si="11"/>
        <v>175</v>
      </c>
      <c r="AK14" s="6"/>
      <c r="AL14" s="6">
        <v>600</v>
      </c>
      <c r="AM14" s="24">
        <f t="shared" si="12"/>
        <v>3428.09</v>
      </c>
      <c r="AN14" s="24">
        <f t="shared" si="13"/>
        <v>29301.09</v>
      </c>
      <c r="AO14" s="24">
        <f t="shared" si="14"/>
        <v>600</v>
      </c>
      <c r="AP14" s="24">
        <f t="shared" si="15"/>
        <v>29901.09</v>
      </c>
      <c r="AQ14" s="24">
        <f t="shared" si="16"/>
        <v>5382</v>
      </c>
      <c r="AR14" s="25">
        <f t="shared" si="17"/>
        <v>35283.089999999997</v>
      </c>
    </row>
    <row r="15" spans="1:44">
      <c r="A15" s="6">
        <v>10</v>
      </c>
      <c r="B15" s="37">
        <v>3562056132</v>
      </c>
      <c r="C15" s="6"/>
      <c r="D15" s="4" t="s">
        <v>176</v>
      </c>
      <c r="E15" s="4" t="s">
        <v>158</v>
      </c>
      <c r="F15" s="39">
        <v>44378</v>
      </c>
      <c r="G15" s="5" t="s">
        <v>66</v>
      </c>
      <c r="H15" s="5" t="s">
        <v>166</v>
      </c>
      <c r="I15" s="35" t="s">
        <v>160</v>
      </c>
      <c r="J15" s="35" t="s">
        <v>159</v>
      </c>
      <c r="K15" s="6">
        <v>24</v>
      </c>
      <c r="L15" s="6">
        <v>19</v>
      </c>
      <c r="M15" s="6">
        <v>0</v>
      </c>
      <c r="N15" s="6">
        <v>0</v>
      </c>
      <c r="O15" s="6">
        <f t="shared" si="18"/>
        <v>19</v>
      </c>
      <c r="P15" s="21">
        <v>18499</v>
      </c>
      <c r="Q15" s="21">
        <v>0</v>
      </c>
      <c r="R15" s="21">
        <v>0</v>
      </c>
      <c r="S15" s="6">
        <v>0</v>
      </c>
      <c r="T15" s="6">
        <f>ROUND(SUM(P15:S15),0)</f>
        <v>18499</v>
      </c>
      <c r="U15" s="6">
        <f t="shared" si="2"/>
        <v>14645</v>
      </c>
      <c r="V15" s="6">
        <f t="shared" si="2"/>
        <v>0</v>
      </c>
      <c r="W15" s="6">
        <f t="shared" si="2"/>
        <v>0</v>
      </c>
      <c r="X15" s="6">
        <f t="shared" si="2"/>
        <v>0</v>
      </c>
      <c r="Y15" s="6">
        <f t="shared" si="3"/>
        <v>14645</v>
      </c>
      <c r="Z15" s="6">
        <f t="shared" si="4"/>
        <v>1220</v>
      </c>
      <c r="AA15" s="6">
        <f t="shared" si="5"/>
        <v>844</v>
      </c>
      <c r="AB15" s="4">
        <f t="shared" si="6"/>
        <v>16709</v>
      </c>
      <c r="AC15" s="4">
        <f t="shared" si="7"/>
        <v>126</v>
      </c>
      <c r="AD15" s="24">
        <v>1800</v>
      </c>
      <c r="AE15" s="4">
        <v>1</v>
      </c>
      <c r="AF15" s="4">
        <f t="shared" si="9"/>
        <v>14782</v>
      </c>
      <c r="AG15" s="55">
        <f t="shared" si="19"/>
        <v>544</v>
      </c>
      <c r="AH15" s="24">
        <v>1950</v>
      </c>
      <c r="AI15" s="6">
        <v>2</v>
      </c>
      <c r="AJ15" s="4">
        <f t="shared" si="11"/>
        <v>139</v>
      </c>
      <c r="AK15" s="6"/>
      <c r="AL15" s="6">
        <v>0</v>
      </c>
      <c r="AM15" s="24">
        <f t="shared" si="12"/>
        <v>2635</v>
      </c>
      <c r="AN15" s="24">
        <f>AB15+AM15</f>
        <v>19344</v>
      </c>
      <c r="AO15" s="24">
        <f>ROUND(600/K15*O15,0)</f>
        <v>475</v>
      </c>
      <c r="AP15" s="24">
        <f>AN15+AO15</f>
        <v>19819</v>
      </c>
      <c r="AQ15" s="24">
        <f>ROUND(AP15*18%,0)</f>
        <v>3567</v>
      </c>
      <c r="AR15" s="25">
        <f>AP15+AQ15</f>
        <v>23386</v>
      </c>
    </row>
    <row r="16" spans="1:44">
      <c r="A16" s="6">
        <v>11</v>
      </c>
      <c r="B16" s="37">
        <v>3562056137</v>
      </c>
      <c r="C16" s="6"/>
      <c r="D16" s="4" t="s">
        <v>156</v>
      </c>
      <c r="E16" s="4" t="s">
        <v>157</v>
      </c>
      <c r="F16" s="39">
        <v>44378</v>
      </c>
      <c r="G16" s="5" t="s">
        <v>129</v>
      </c>
      <c r="H16" s="5" t="s">
        <v>163</v>
      </c>
      <c r="I16" s="35" t="s">
        <v>167</v>
      </c>
      <c r="J16">
        <v>6931389241</v>
      </c>
      <c r="K16" s="6">
        <v>24</v>
      </c>
      <c r="L16" s="6">
        <v>12</v>
      </c>
      <c r="M16" s="6">
        <v>0</v>
      </c>
      <c r="N16" s="6">
        <v>0</v>
      </c>
      <c r="O16" s="6">
        <f t="shared" si="18"/>
        <v>12</v>
      </c>
      <c r="P16" s="21">
        <v>16792</v>
      </c>
      <c r="Q16" s="21">
        <v>0</v>
      </c>
      <c r="R16" s="21">
        <v>0</v>
      </c>
      <c r="S16" s="6">
        <v>0</v>
      </c>
      <c r="T16" s="6">
        <f>ROUND(SUM(P16:S16),0)</f>
        <v>16792</v>
      </c>
      <c r="U16" s="6">
        <f t="shared" si="2"/>
        <v>8396</v>
      </c>
      <c r="V16" s="6">
        <f t="shared" si="2"/>
        <v>0</v>
      </c>
      <c r="W16" s="6">
        <f t="shared" si="2"/>
        <v>0</v>
      </c>
      <c r="X16" s="6">
        <f t="shared" si="2"/>
        <v>0</v>
      </c>
      <c r="Y16" s="6">
        <f t="shared" si="3"/>
        <v>8396</v>
      </c>
      <c r="Z16" s="6">
        <f t="shared" si="4"/>
        <v>699</v>
      </c>
      <c r="AA16" s="6">
        <f t="shared" si="5"/>
        <v>484</v>
      </c>
      <c r="AB16" s="4">
        <f t="shared" si="6"/>
        <v>9579</v>
      </c>
      <c r="AC16" s="4">
        <f t="shared" si="7"/>
        <v>72</v>
      </c>
      <c r="AD16" s="24">
        <f t="shared" si="8"/>
        <v>1065.5999999999999</v>
      </c>
      <c r="AE16" s="4">
        <v>1</v>
      </c>
      <c r="AF16" s="4">
        <f t="shared" si="9"/>
        <v>8440</v>
      </c>
      <c r="AG16" s="55">
        <f t="shared" si="19"/>
        <v>312</v>
      </c>
      <c r="AH16" s="24">
        <f>ROUND(IF(($AB16-Z16)*13%&gt;1950,1950,($AB16-Z16)*13%),0)</f>
        <v>1154</v>
      </c>
      <c r="AI16" s="6">
        <v>2</v>
      </c>
      <c r="AJ16" s="4">
        <f t="shared" si="11"/>
        <v>88</v>
      </c>
      <c r="AK16" s="6"/>
      <c r="AL16" s="6">
        <v>0</v>
      </c>
      <c r="AM16" s="24">
        <f t="shared" si="12"/>
        <v>1556</v>
      </c>
      <c r="AN16" s="24">
        <f>AB16+AM16</f>
        <v>11135</v>
      </c>
      <c r="AO16" s="24">
        <f>ROUND(600/K16*O16,0)</f>
        <v>300</v>
      </c>
      <c r="AP16" s="24">
        <f>AN16+AO16</f>
        <v>11435</v>
      </c>
      <c r="AQ16" s="24">
        <f>ROUND(AP16*18%,0)</f>
        <v>2058</v>
      </c>
      <c r="AR16" s="25">
        <f>AP16+AQ16</f>
        <v>13493</v>
      </c>
    </row>
    <row r="17" spans="1:46">
      <c r="A17" s="6">
        <v>12</v>
      </c>
      <c r="B17" s="37">
        <v>3562028794</v>
      </c>
      <c r="C17" s="6"/>
      <c r="D17" s="4" t="s">
        <v>180</v>
      </c>
      <c r="E17" s="4" t="s">
        <v>179</v>
      </c>
      <c r="F17" s="39">
        <v>43693</v>
      </c>
      <c r="G17" s="5" t="s">
        <v>66</v>
      </c>
      <c r="H17" s="5" t="s">
        <v>67</v>
      </c>
      <c r="I17" s="35" t="s">
        <v>178</v>
      </c>
      <c r="J17" s="35" t="s">
        <v>177</v>
      </c>
      <c r="K17" s="6">
        <v>24</v>
      </c>
      <c r="L17" s="6">
        <v>24</v>
      </c>
      <c r="M17" s="6">
        <v>0</v>
      </c>
      <c r="N17" s="6">
        <v>0</v>
      </c>
      <c r="O17" s="6">
        <f t="shared" si="18"/>
        <v>24</v>
      </c>
      <c r="P17" s="21">
        <v>18499</v>
      </c>
      <c r="Q17" s="21">
        <v>0</v>
      </c>
      <c r="R17" s="21">
        <v>0</v>
      </c>
      <c r="S17" s="6">
        <v>0</v>
      </c>
      <c r="T17" s="6">
        <f>ROUND(SUM(P17:S17),0)</f>
        <v>18499</v>
      </c>
      <c r="U17" s="6">
        <f t="shared" si="2"/>
        <v>18499</v>
      </c>
      <c r="V17" s="6">
        <f t="shared" si="2"/>
        <v>0</v>
      </c>
      <c r="W17" s="6">
        <f t="shared" si="2"/>
        <v>0</v>
      </c>
      <c r="X17" s="6">
        <f t="shared" si="2"/>
        <v>0</v>
      </c>
      <c r="Y17" s="6">
        <f t="shared" si="3"/>
        <v>18499</v>
      </c>
      <c r="Z17" s="6">
        <f t="shared" si="4"/>
        <v>1541</v>
      </c>
      <c r="AA17" s="6">
        <f t="shared" si="5"/>
        <v>1066</v>
      </c>
      <c r="AB17" s="4">
        <f t="shared" si="6"/>
        <v>21106</v>
      </c>
      <c r="AC17" s="4">
        <f t="shared" si="7"/>
        <v>159</v>
      </c>
      <c r="AD17" s="24">
        <f t="shared" si="8"/>
        <v>2347.7999999999997</v>
      </c>
      <c r="AE17" s="4">
        <v>1</v>
      </c>
      <c r="AF17" s="4">
        <f t="shared" si="9"/>
        <v>18598</v>
      </c>
      <c r="AG17" s="55">
        <f t="shared" si="19"/>
        <v>686</v>
      </c>
      <c r="AH17" s="24">
        <f>ROUND(AB17-V17-Z17,0)*13%</f>
        <v>2543.4500000000003</v>
      </c>
      <c r="AI17" s="6">
        <v>2</v>
      </c>
      <c r="AJ17" s="4">
        <f t="shared" si="11"/>
        <v>175</v>
      </c>
      <c r="AK17" s="6"/>
      <c r="AL17" s="6">
        <v>0</v>
      </c>
      <c r="AM17" s="24">
        <f t="shared" si="12"/>
        <v>3406.4500000000003</v>
      </c>
      <c r="AN17" s="24">
        <f>AB17+AM17</f>
        <v>24512.45</v>
      </c>
      <c r="AO17" s="24">
        <f>ROUND(600/K17*O17,0)</f>
        <v>600</v>
      </c>
      <c r="AP17" s="24">
        <f>AN17+AO17</f>
        <v>25112.45</v>
      </c>
      <c r="AQ17" s="24">
        <f>ROUND(AP17*18%,0)</f>
        <v>4520</v>
      </c>
      <c r="AR17" s="25">
        <f>AP17+AQ17</f>
        <v>29632.45</v>
      </c>
    </row>
    <row r="18" spans="1:46">
      <c r="A18" s="6">
        <v>13</v>
      </c>
      <c r="B18" s="37">
        <v>3562044038</v>
      </c>
      <c r="C18" s="6"/>
      <c r="D18" s="4" t="s">
        <v>181</v>
      </c>
      <c r="E18" s="4" t="s">
        <v>182</v>
      </c>
      <c r="F18" s="39">
        <v>44194</v>
      </c>
      <c r="G18" s="5" t="s">
        <v>66</v>
      </c>
      <c r="H18" s="5" t="s">
        <v>162</v>
      </c>
      <c r="I18" s="35" t="s">
        <v>183</v>
      </c>
      <c r="J18" s="35">
        <v>1113758487</v>
      </c>
      <c r="K18" s="6">
        <v>24</v>
      </c>
      <c r="L18" s="6">
        <v>24</v>
      </c>
      <c r="M18" s="6">
        <v>0</v>
      </c>
      <c r="N18" s="6">
        <v>0</v>
      </c>
      <c r="O18" s="6">
        <f t="shared" si="18"/>
        <v>24</v>
      </c>
      <c r="P18" s="21">
        <v>19070</v>
      </c>
      <c r="Q18" s="21">
        <v>1187.43</v>
      </c>
      <c r="R18" s="21">
        <v>0</v>
      </c>
      <c r="S18" s="6">
        <v>0</v>
      </c>
      <c r="T18" s="6">
        <f t="shared" ref="T18:T19" si="20">ROUND(SUM(P18:S18),0)</f>
        <v>20257</v>
      </c>
      <c r="U18" s="6">
        <f t="shared" si="2"/>
        <v>19070</v>
      </c>
      <c r="V18" s="6">
        <f t="shared" si="2"/>
        <v>1187</v>
      </c>
      <c r="W18" s="6">
        <f t="shared" si="2"/>
        <v>0</v>
      </c>
      <c r="X18" s="6">
        <f t="shared" si="2"/>
        <v>0</v>
      </c>
      <c r="Y18" s="6">
        <f t="shared" si="3"/>
        <v>20257</v>
      </c>
      <c r="Z18" s="6">
        <f t="shared" si="4"/>
        <v>1589</v>
      </c>
      <c r="AA18" s="6">
        <f t="shared" si="5"/>
        <v>1167</v>
      </c>
      <c r="AB18" s="4">
        <f t="shared" si="6"/>
        <v>23013</v>
      </c>
      <c r="AC18" s="4">
        <f t="shared" si="7"/>
        <v>173</v>
      </c>
      <c r="AD18" s="24">
        <f t="shared" si="8"/>
        <v>2428.44</v>
      </c>
      <c r="AE18" s="4">
        <v>1</v>
      </c>
      <c r="AF18" s="4">
        <f t="shared" si="9"/>
        <v>20411</v>
      </c>
      <c r="AG18" s="55">
        <f t="shared" si="19"/>
        <v>748</v>
      </c>
      <c r="AH18" s="24">
        <f t="shared" ref="AH18" si="21">ROUND(AB18-V18-Z18,0)*13%</f>
        <v>2630.81</v>
      </c>
      <c r="AI18" s="6">
        <v>2</v>
      </c>
      <c r="AJ18" s="4">
        <f t="shared" si="11"/>
        <v>175</v>
      </c>
      <c r="AK18" s="6"/>
      <c r="AL18" s="6">
        <v>0</v>
      </c>
      <c r="AM18" s="24">
        <f t="shared" si="12"/>
        <v>3555.81</v>
      </c>
      <c r="AN18" s="24">
        <f t="shared" ref="AN18:AN41" si="22">AB18+AM18</f>
        <v>26568.81</v>
      </c>
      <c r="AO18" s="24">
        <f t="shared" ref="AO18:AO39" si="23">ROUND(600/K18*O18,0)</f>
        <v>600</v>
      </c>
      <c r="AP18" s="24">
        <f t="shared" ref="AP18:AP41" si="24">AN18+AO18</f>
        <v>27168.81</v>
      </c>
      <c r="AQ18" s="24">
        <f t="shared" ref="AQ18:AQ41" si="25">ROUND(AP18*18%,0)</f>
        <v>4890</v>
      </c>
      <c r="AR18" s="25">
        <f t="shared" ref="AR18:AR41" si="26">AP18+AQ18</f>
        <v>32058.81</v>
      </c>
    </row>
    <row r="19" spans="1:46">
      <c r="A19" s="6">
        <v>14</v>
      </c>
      <c r="B19" s="37">
        <v>3562059681</v>
      </c>
      <c r="C19" s="6"/>
      <c r="D19" s="4" t="s">
        <v>168</v>
      </c>
      <c r="E19" s="4" t="s">
        <v>170</v>
      </c>
      <c r="F19" s="39">
        <v>44434</v>
      </c>
      <c r="G19" s="5" t="s">
        <v>66</v>
      </c>
      <c r="H19" s="5" t="s">
        <v>67</v>
      </c>
      <c r="I19" s="35" t="s">
        <v>171</v>
      </c>
      <c r="J19" s="35" t="s">
        <v>174</v>
      </c>
      <c r="K19" s="6">
        <v>24</v>
      </c>
      <c r="L19" s="6">
        <v>20</v>
      </c>
      <c r="M19" s="6">
        <v>0</v>
      </c>
      <c r="N19" s="6">
        <v>0</v>
      </c>
      <c r="O19" s="6">
        <f t="shared" si="18"/>
        <v>20</v>
      </c>
      <c r="P19" s="21">
        <v>18499</v>
      </c>
      <c r="Q19" s="21">
        <v>0</v>
      </c>
      <c r="R19" s="21">
        <v>0</v>
      </c>
      <c r="S19" s="6">
        <v>0</v>
      </c>
      <c r="T19" s="6">
        <f t="shared" si="20"/>
        <v>18499</v>
      </c>
      <c r="U19" s="6">
        <f t="shared" si="2"/>
        <v>15416</v>
      </c>
      <c r="V19" s="6">
        <f t="shared" si="2"/>
        <v>0</v>
      </c>
      <c r="W19" s="6">
        <f t="shared" si="2"/>
        <v>0</v>
      </c>
      <c r="X19" s="6">
        <f t="shared" si="2"/>
        <v>0</v>
      </c>
      <c r="Y19" s="6">
        <f t="shared" si="3"/>
        <v>15416</v>
      </c>
      <c r="Z19" s="6">
        <f t="shared" si="4"/>
        <v>1284</v>
      </c>
      <c r="AA19" s="6">
        <f t="shared" si="5"/>
        <v>888</v>
      </c>
      <c r="AB19" s="4">
        <f t="shared" si="6"/>
        <v>17588</v>
      </c>
      <c r="AC19" s="4">
        <f t="shared" si="7"/>
        <v>132</v>
      </c>
      <c r="AD19" s="24">
        <f t="shared" si="8"/>
        <v>1956.48</v>
      </c>
      <c r="AE19" s="4">
        <v>1</v>
      </c>
      <c r="AF19" s="4">
        <f t="shared" si="9"/>
        <v>15499</v>
      </c>
      <c r="AG19" s="55">
        <f t="shared" si="19"/>
        <v>572</v>
      </c>
      <c r="AH19" s="24">
        <f>ROUND(IF(($AB19-Z19)*12%&gt;1950,1950,(AB19-Z19)*13%),0)</f>
        <v>1950</v>
      </c>
      <c r="AI19" s="6">
        <v>2</v>
      </c>
      <c r="AJ19" s="4">
        <f t="shared" si="11"/>
        <v>146</v>
      </c>
      <c r="AK19" s="6"/>
      <c r="AL19" s="6">
        <v>0</v>
      </c>
      <c r="AM19" s="24">
        <f t="shared" si="12"/>
        <v>2670</v>
      </c>
      <c r="AN19" s="24">
        <f t="shared" si="22"/>
        <v>20258</v>
      </c>
      <c r="AO19" s="24">
        <f t="shared" si="23"/>
        <v>500</v>
      </c>
      <c r="AP19" s="24">
        <f t="shared" si="24"/>
        <v>20758</v>
      </c>
      <c r="AQ19" s="24">
        <f t="shared" si="25"/>
        <v>3736</v>
      </c>
      <c r="AR19" s="25">
        <f t="shared" si="26"/>
        <v>24494</v>
      </c>
    </row>
    <row r="20" spans="1:46">
      <c r="A20" s="6">
        <v>15</v>
      </c>
      <c r="B20" s="37">
        <v>3562060691</v>
      </c>
      <c r="C20" s="6"/>
      <c r="D20" s="4" t="s">
        <v>169</v>
      </c>
      <c r="E20" s="4" t="s">
        <v>172</v>
      </c>
      <c r="F20" s="39">
        <v>44446</v>
      </c>
      <c r="G20" s="5" t="s">
        <v>66</v>
      </c>
      <c r="H20" s="5" t="s">
        <v>67</v>
      </c>
      <c r="I20" s="35" t="s">
        <v>173</v>
      </c>
      <c r="J20" s="35" t="s">
        <v>175</v>
      </c>
      <c r="K20" s="6">
        <v>24</v>
      </c>
      <c r="L20" s="6">
        <v>22</v>
      </c>
      <c r="M20" s="6">
        <v>0</v>
      </c>
      <c r="N20" s="6">
        <v>0</v>
      </c>
      <c r="O20" s="6">
        <f t="shared" si="18"/>
        <v>22</v>
      </c>
      <c r="P20" s="21">
        <v>18499</v>
      </c>
      <c r="Q20" s="21">
        <v>0</v>
      </c>
      <c r="R20" s="21">
        <v>0</v>
      </c>
      <c r="S20" s="6">
        <v>0</v>
      </c>
      <c r="T20" s="6">
        <f t="shared" ref="T20:T21" si="27">ROUND(SUM(P20:S20),0)</f>
        <v>18499</v>
      </c>
      <c r="U20" s="6">
        <f t="shared" si="2"/>
        <v>16957</v>
      </c>
      <c r="V20" s="6">
        <f t="shared" si="2"/>
        <v>0</v>
      </c>
      <c r="W20" s="6">
        <f t="shared" si="2"/>
        <v>0</v>
      </c>
      <c r="X20" s="6">
        <f t="shared" si="2"/>
        <v>0</v>
      </c>
      <c r="Y20" s="6">
        <f t="shared" si="3"/>
        <v>16957</v>
      </c>
      <c r="Z20" s="6">
        <f t="shared" si="4"/>
        <v>1413</v>
      </c>
      <c r="AA20" s="6">
        <f t="shared" si="5"/>
        <v>977</v>
      </c>
      <c r="AB20" s="4">
        <f t="shared" si="6"/>
        <v>19347</v>
      </c>
      <c r="AC20" s="4">
        <f t="shared" si="7"/>
        <v>146</v>
      </c>
      <c r="AD20" s="24">
        <f t="shared" si="8"/>
        <v>2152.08</v>
      </c>
      <c r="AE20" s="4">
        <v>1</v>
      </c>
      <c r="AF20" s="4">
        <f t="shared" si="9"/>
        <v>17048</v>
      </c>
      <c r="AG20" s="55">
        <f t="shared" si="19"/>
        <v>629</v>
      </c>
      <c r="AH20" s="24">
        <f t="shared" ref="AH20:AH24" si="28">ROUND(IF(($AB20-Z20)*12%&gt;1950,1950,(AB20-Z20)*13%),0)</f>
        <v>1950</v>
      </c>
      <c r="AI20" s="6">
        <v>2</v>
      </c>
      <c r="AJ20" s="4">
        <f t="shared" si="11"/>
        <v>160</v>
      </c>
      <c r="AK20" s="6"/>
      <c r="AL20" s="6">
        <v>0</v>
      </c>
      <c r="AM20" s="24">
        <f t="shared" si="12"/>
        <v>2741</v>
      </c>
      <c r="AN20" s="24">
        <f t="shared" si="22"/>
        <v>22088</v>
      </c>
      <c r="AO20" s="24">
        <f t="shared" si="23"/>
        <v>550</v>
      </c>
      <c r="AP20" s="24">
        <f t="shared" si="24"/>
        <v>22638</v>
      </c>
      <c r="AQ20" s="24">
        <f t="shared" si="25"/>
        <v>4075</v>
      </c>
      <c r="AR20" s="25">
        <f t="shared" si="26"/>
        <v>26713</v>
      </c>
    </row>
    <row r="21" spans="1:46">
      <c r="A21" s="6">
        <v>16</v>
      </c>
      <c r="B21" s="37">
        <v>3562061964</v>
      </c>
      <c r="C21" s="6"/>
      <c r="D21" s="4" t="s">
        <v>185</v>
      </c>
      <c r="E21" s="4" t="s">
        <v>186</v>
      </c>
      <c r="F21" s="39">
        <v>44557</v>
      </c>
      <c r="G21" s="5" t="s">
        <v>184</v>
      </c>
      <c r="H21" s="5" t="s">
        <v>67</v>
      </c>
      <c r="I21" s="35" t="s">
        <v>188</v>
      </c>
      <c r="J21" s="35" t="s">
        <v>187</v>
      </c>
      <c r="K21" s="6">
        <v>24</v>
      </c>
      <c r="L21" s="6">
        <v>24</v>
      </c>
      <c r="M21" s="6">
        <v>0</v>
      </c>
      <c r="N21" s="6">
        <v>0</v>
      </c>
      <c r="O21" s="6">
        <f t="shared" si="18"/>
        <v>24</v>
      </c>
      <c r="P21" s="21">
        <v>19473</v>
      </c>
      <c r="Q21" s="21">
        <v>5527</v>
      </c>
      <c r="R21" s="21">
        <v>0</v>
      </c>
      <c r="S21" s="6">
        <v>0</v>
      </c>
      <c r="T21" s="6">
        <f t="shared" si="27"/>
        <v>25000</v>
      </c>
      <c r="U21" s="6">
        <f t="shared" si="2"/>
        <v>19473</v>
      </c>
      <c r="V21" s="6">
        <f t="shared" si="2"/>
        <v>5527</v>
      </c>
      <c r="W21" s="6">
        <f t="shared" si="2"/>
        <v>0</v>
      </c>
      <c r="X21" s="6">
        <f t="shared" si="2"/>
        <v>0</v>
      </c>
      <c r="Y21" s="6">
        <f t="shared" si="3"/>
        <v>25000</v>
      </c>
      <c r="Z21" s="6">
        <f t="shared" si="4"/>
        <v>1622</v>
      </c>
      <c r="AA21" s="6">
        <f t="shared" si="5"/>
        <v>1440</v>
      </c>
      <c r="AB21" s="4">
        <f t="shared" si="6"/>
        <v>28062</v>
      </c>
      <c r="AC21" s="4">
        <f t="shared" si="7"/>
        <v>0</v>
      </c>
      <c r="AD21" s="24">
        <f t="shared" si="8"/>
        <v>2509.56</v>
      </c>
      <c r="AE21" s="4">
        <v>1</v>
      </c>
      <c r="AF21" s="4">
        <f t="shared" si="9"/>
        <v>25551</v>
      </c>
      <c r="AG21" s="55">
        <f t="shared" si="19"/>
        <v>0</v>
      </c>
      <c r="AH21" s="24">
        <f t="shared" si="28"/>
        <v>1950</v>
      </c>
      <c r="AI21" s="6">
        <v>2</v>
      </c>
      <c r="AJ21" s="4">
        <f t="shared" si="11"/>
        <v>175</v>
      </c>
      <c r="AK21" s="6"/>
      <c r="AL21" s="6">
        <v>217</v>
      </c>
      <c r="AM21" s="24">
        <f t="shared" si="12"/>
        <v>2344</v>
      </c>
      <c r="AN21" s="24">
        <f t="shared" si="22"/>
        <v>30406</v>
      </c>
      <c r="AO21" s="24">
        <f t="shared" si="23"/>
        <v>600</v>
      </c>
      <c r="AP21" s="24">
        <f t="shared" si="24"/>
        <v>31006</v>
      </c>
      <c r="AQ21" s="24">
        <f t="shared" si="25"/>
        <v>5581</v>
      </c>
      <c r="AR21" s="25">
        <f t="shared" si="26"/>
        <v>36587</v>
      </c>
    </row>
    <row r="22" spans="1:46">
      <c r="A22" s="6">
        <v>17</v>
      </c>
      <c r="B22" s="37">
        <v>3562033964</v>
      </c>
      <c r="C22" s="6"/>
      <c r="D22" s="4" t="s">
        <v>189</v>
      </c>
      <c r="E22" s="4" t="s">
        <v>190</v>
      </c>
      <c r="F22" s="39">
        <v>43876</v>
      </c>
      <c r="G22" s="5" t="s">
        <v>70</v>
      </c>
      <c r="H22" s="5" t="s">
        <v>191</v>
      </c>
      <c r="I22" s="35" t="s">
        <v>192</v>
      </c>
      <c r="J22" s="35" t="s">
        <v>279</v>
      </c>
      <c r="K22" s="6">
        <v>24</v>
      </c>
      <c r="L22" s="6">
        <v>22</v>
      </c>
      <c r="M22" s="6">
        <v>0</v>
      </c>
      <c r="N22" s="6">
        <v>0</v>
      </c>
      <c r="O22" s="6">
        <f t="shared" si="18"/>
        <v>22</v>
      </c>
      <c r="P22" s="21">
        <v>16792</v>
      </c>
      <c r="Q22" s="21">
        <v>0</v>
      </c>
      <c r="R22" s="21">
        <v>0</v>
      </c>
      <c r="S22" s="6">
        <v>0</v>
      </c>
      <c r="T22" s="6">
        <v>14810</v>
      </c>
      <c r="U22" s="6">
        <f t="shared" si="2"/>
        <v>15393</v>
      </c>
      <c r="V22" s="6">
        <f t="shared" si="2"/>
        <v>0</v>
      </c>
      <c r="W22" s="6">
        <f t="shared" si="2"/>
        <v>0</v>
      </c>
      <c r="X22" s="6">
        <f t="shared" si="2"/>
        <v>0</v>
      </c>
      <c r="Y22" s="6">
        <f t="shared" si="3"/>
        <v>15393</v>
      </c>
      <c r="Z22" s="6">
        <f t="shared" si="4"/>
        <v>1282</v>
      </c>
      <c r="AA22" s="6">
        <f t="shared" si="5"/>
        <v>887</v>
      </c>
      <c r="AB22" s="4">
        <f t="shared" si="6"/>
        <v>17562</v>
      </c>
      <c r="AC22" s="4">
        <f t="shared" si="7"/>
        <v>132</v>
      </c>
      <c r="AD22" s="24">
        <f t="shared" si="8"/>
        <v>1953.6</v>
      </c>
      <c r="AE22" s="4">
        <v>1</v>
      </c>
      <c r="AF22" s="4">
        <f t="shared" si="9"/>
        <v>15475</v>
      </c>
      <c r="AG22" s="55">
        <f t="shared" si="19"/>
        <v>571</v>
      </c>
      <c r="AH22" s="24">
        <f t="shared" ref="AH22:AH23" si="29">ROUND(AB22-V22-Z22,0)*13%</f>
        <v>2116.4</v>
      </c>
      <c r="AI22" s="6">
        <v>2</v>
      </c>
      <c r="AJ22" s="4">
        <f t="shared" si="11"/>
        <v>160</v>
      </c>
      <c r="AK22" s="6"/>
      <c r="AL22" s="6">
        <v>0</v>
      </c>
      <c r="AM22" s="24">
        <f t="shared" si="12"/>
        <v>2849.4</v>
      </c>
      <c r="AN22" s="24">
        <f t="shared" si="22"/>
        <v>20411.400000000001</v>
      </c>
      <c r="AO22" s="24">
        <f t="shared" si="23"/>
        <v>550</v>
      </c>
      <c r="AP22" s="24">
        <f t="shared" si="24"/>
        <v>20961.400000000001</v>
      </c>
      <c r="AQ22" s="24">
        <f t="shared" si="25"/>
        <v>3773</v>
      </c>
      <c r="AR22" s="25">
        <f t="shared" si="26"/>
        <v>24734.400000000001</v>
      </c>
    </row>
    <row r="23" spans="1:46">
      <c r="A23" s="6">
        <v>18</v>
      </c>
      <c r="B23" s="7">
        <v>3562018295</v>
      </c>
      <c r="C23" s="4">
        <v>5021</v>
      </c>
      <c r="D23" s="4" t="s">
        <v>193</v>
      </c>
      <c r="E23" s="4" t="s">
        <v>194</v>
      </c>
      <c r="F23" s="5">
        <v>43453</v>
      </c>
      <c r="G23" s="5" t="s">
        <v>70</v>
      </c>
      <c r="H23" s="5" t="s">
        <v>162</v>
      </c>
      <c r="I23" s="35" t="s">
        <v>195</v>
      </c>
      <c r="J23" s="35">
        <v>6928679579</v>
      </c>
      <c r="K23" s="6">
        <v>24</v>
      </c>
      <c r="L23" s="6">
        <v>24</v>
      </c>
      <c r="M23" s="6">
        <v>0</v>
      </c>
      <c r="N23" s="6">
        <v>0</v>
      </c>
      <c r="O23" s="6">
        <f t="shared" si="18"/>
        <v>24</v>
      </c>
      <c r="P23" s="21">
        <v>16792</v>
      </c>
      <c r="Q23" s="21">
        <v>0</v>
      </c>
      <c r="R23" s="6">
        <v>0</v>
      </c>
      <c r="S23" s="6">
        <v>0</v>
      </c>
      <c r="T23" s="6">
        <f t="shared" ref="T23" si="30">ROUND(SUM(P23:S23),0)</f>
        <v>16792</v>
      </c>
      <c r="U23" s="6">
        <f t="shared" si="2"/>
        <v>16792</v>
      </c>
      <c r="V23" s="6">
        <f t="shared" si="2"/>
        <v>0</v>
      </c>
      <c r="W23" s="6">
        <f t="shared" si="2"/>
        <v>0</v>
      </c>
      <c r="X23" s="6">
        <f t="shared" si="2"/>
        <v>0</v>
      </c>
      <c r="Y23" s="6">
        <f t="shared" si="3"/>
        <v>16792</v>
      </c>
      <c r="Z23" s="6">
        <f t="shared" si="4"/>
        <v>1399</v>
      </c>
      <c r="AA23" s="6">
        <f t="shared" si="5"/>
        <v>967</v>
      </c>
      <c r="AB23" s="4">
        <f t="shared" si="6"/>
        <v>19158</v>
      </c>
      <c r="AC23" s="4">
        <f t="shared" si="7"/>
        <v>144</v>
      </c>
      <c r="AD23" s="24">
        <f t="shared" si="8"/>
        <v>2131.08</v>
      </c>
      <c r="AE23" s="4">
        <v>1</v>
      </c>
      <c r="AF23" s="4">
        <f t="shared" si="9"/>
        <v>16882</v>
      </c>
      <c r="AG23" s="55">
        <f t="shared" si="19"/>
        <v>623</v>
      </c>
      <c r="AH23" s="24">
        <f t="shared" si="29"/>
        <v>2308.67</v>
      </c>
      <c r="AI23" s="6">
        <v>2</v>
      </c>
      <c r="AJ23" s="4">
        <f t="shared" si="11"/>
        <v>175</v>
      </c>
      <c r="AK23" s="6"/>
      <c r="AL23" s="6">
        <v>0</v>
      </c>
      <c r="AM23" s="24">
        <f t="shared" si="12"/>
        <v>3108.67</v>
      </c>
      <c r="AN23" s="24">
        <f t="shared" si="22"/>
        <v>22266.67</v>
      </c>
      <c r="AO23" s="24">
        <f t="shared" si="23"/>
        <v>600</v>
      </c>
      <c r="AP23" s="24">
        <f t="shared" si="24"/>
        <v>22866.67</v>
      </c>
      <c r="AQ23" s="24">
        <f t="shared" si="25"/>
        <v>4116</v>
      </c>
      <c r="AR23" s="24">
        <f t="shared" si="26"/>
        <v>26982.67</v>
      </c>
    </row>
    <row r="24" spans="1:46" ht="15">
      <c r="A24" s="6">
        <v>19</v>
      </c>
      <c r="B24" s="7">
        <v>3562076430</v>
      </c>
      <c r="C24" s="4"/>
      <c r="D24" s="4" t="s">
        <v>196</v>
      </c>
      <c r="E24" s="4" t="s">
        <v>273</v>
      </c>
      <c r="F24" s="5" t="s">
        <v>197</v>
      </c>
      <c r="G24" s="5" t="s">
        <v>66</v>
      </c>
      <c r="H24" s="5" t="s">
        <v>191</v>
      </c>
      <c r="I24" s="51" t="s">
        <v>198</v>
      </c>
      <c r="J24" s="51" t="s">
        <v>199</v>
      </c>
      <c r="K24" s="6">
        <v>24</v>
      </c>
      <c r="L24" s="6">
        <v>16.5</v>
      </c>
      <c r="M24" s="6">
        <v>0</v>
      </c>
      <c r="N24" s="6">
        <v>0</v>
      </c>
      <c r="O24" s="6">
        <f t="shared" si="18"/>
        <v>16.5</v>
      </c>
      <c r="P24" s="21">
        <v>18499</v>
      </c>
      <c r="Q24" s="21">
        <v>0</v>
      </c>
      <c r="R24" s="6">
        <v>0</v>
      </c>
      <c r="S24" s="6">
        <v>0</v>
      </c>
      <c r="T24" s="6">
        <f t="shared" ref="T24:T29" si="31">ROUND(SUM(P24:S24),0)</f>
        <v>18499</v>
      </c>
      <c r="U24" s="6">
        <f t="shared" ref="U24:X39" si="32">ROUND(P24/$K24*$O24,0)</f>
        <v>12718</v>
      </c>
      <c r="V24" s="6">
        <f t="shared" si="32"/>
        <v>0</v>
      </c>
      <c r="W24" s="6">
        <f t="shared" si="32"/>
        <v>0</v>
      </c>
      <c r="X24" s="6">
        <f t="shared" si="32"/>
        <v>0</v>
      </c>
      <c r="Y24" s="6">
        <f t="shared" si="3"/>
        <v>12718</v>
      </c>
      <c r="Z24" s="6">
        <f t="shared" si="4"/>
        <v>1059</v>
      </c>
      <c r="AA24" s="6">
        <f t="shared" si="5"/>
        <v>733</v>
      </c>
      <c r="AB24" s="4">
        <f t="shared" si="6"/>
        <v>14510</v>
      </c>
      <c r="AC24" s="4">
        <f t="shared" si="7"/>
        <v>109</v>
      </c>
      <c r="AD24" s="24">
        <f t="shared" si="8"/>
        <v>1614.12</v>
      </c>
      <c r="AE24" s="4">
        <v>1</v>
      </c>
      <c r="AF24" s="4">
        <f t="shared" si="9"/>
        <v>12786</v>
      </c>
      <c r="AG24" s="55">
        <f t="shared" si="19"/>
        <v>472</v>
      </c>
      <c r="AH24" s="24">
        <f t="shared" si="28"/>
        <v>1749</v>
      </c>
      <c r="AI24" s="6">
        <v>2</v>
      </c>
      <c r="AJ24" s="4">
        <f t="shared" si="11"/>
        <v>120</v>
      </c>
      <c r="AK24" s="6"/>
      <c r="AL24" s="6">
        <v>0</v>
      </c>
      <c r="AM24" s="24">
        <f t="shared" si="12"/>
        <v>2343</v>
      </c>
      <c r="AN24" s="24">
        <f t="shared" si="22"/>
        <v>16853</v>
      </c>
      <c r="AO24" s="24">
        <f t="shared" si="23"/>
        <v>413</v>
      </c>
      <c r="AP24" s="24">
        <f t="shared" si="24"/>
        <v>17266</v>
      </c>
      <c r="AQ24" s="24">
        <f t="shared" si="25"/>
        <v>3108</v>
      </c>
      <c r="AR24" s="24">
        <f t="shared" si="26"/>
        <v>20374</v>
      </c>
    </row>
    <row r="25" spans="1:46" s="57" customFormat="1">
      <c r="A25" s="6">
        <v>20</v>
      </c>
      <c r="B25" s="7">
        <v>3562017868</v>
      </c>
      <c r="C25" s="4">
        <v>4592</v>
      </c>
      <c r="D25" s="4" t="s">
        <v>200</v>
      </c>
      <c r="E25" s="52" t="s">
        <v>201</v>
      </c>
      <c r="F25" s="53">
        <v>43369</v>
      </c>
      <c r="G25" s="5" t="s">
        <v>66</v>
      </c>
      <c r="H25" s="5" t="s">
        <v>202</v>
      </c>
      <c r="I25" s="54" t="s">
        <v>203</v>
      </c>
      <c r="J25" s="54" t="s">
        <v>204</v>
      </c>
      <c r="K25" s="6">
        <v>24</v>
      </c>
      <c r="L25" s="6">
        <v>24</v>
      </c>
      <c r="M25" s="6">
        <v>0</v>
      </c>
      <c r="N25" s="6">
        <v>0</v>
      </c>
      <c r="O25" s="6">
        <f t="shared" si="18"/>
        <v>24</v>
      </c>
      <c r="P25" s="6">
        <v>18777</v>
      </c>
      <c r="Q25" s="6">
        <v>0</v>
      </c>
      <c r="R25" s="6">
        <v>0</v>
      </c>
      <c r="S25" s="6">
        <v>0</v>
      </c>
      <c r="T25" s="6">
        <f t="shared" si="31"/>
        <v>18777</v>
      </c>
      <c r="U25" s="6">
        <f t="shared" si="32"/>
        <v>18777</v>
      </c>
      <c r="V25" s="6">
        <f t="shared" si="32"/>
        <v>0</v>
      </c>
      <c r="W25" s="6">
        <f t="shared" si="32"/>
        <v>0</v>
      </c>
      <c r="X25" s="6">
        <f t="shared" si="32"/>
        <v>0</v>
      </c>
      <c r="Y25" s="6">
        <f t="shared" si="3"/>
        <v>18777</v>
      </c>
      <c r="Z25" s="6">
        <f t="shared" si="4"/>
        <v>1564</v>
      </c>
      <c r="AA25" s="6">
        <f t="shared" si="5"/>
        <v>1082</v>
      </c>
      <c r="AB25" s="4">
        <f t="shared" si="6"/>
        <v>21423</v>
      </c>
      <c r="AC25" s="4">
        <f t="shared" si="7"/>
        <v>161</v>
      </c>
      <c r="AD25" s="24">
        <f t="shared" si="8"/>
        <v>2383.08</v>
      </c>
      <c r="AE25" s="4">
        <v>1</v>
      </c>
      <c r="AF25" s="4">
        <f t="shared" si="9"/>
        <v>18878</v>
      </c>
      <c r="AG25" s="55">
        <f t="shared" si="19"/>
        <v>697</v>
      </c>
      <c r="AH25" s="24">
        <f t="shared" ref="AH25:AH37" si="33">ROUND(AB25-V25-Z25,)*13%</f>
        <v>2581.67</v>
      </c>
      <c r="AI25" s="6">
        <v>2</v>
      </c>
      <c r="AJ25" s="4">
        <f t="shared" si="11"/>
        <v>175</v>
      </c>
      <c r="AK25" s="6"/>
      <c r="AL25" s="6">
        <v>0</v>
      </c>
      <c r="AM25" s="24">
        <f t="shared" si="12"/>
        <v>3455.67</v>
      </c>
      <c r="AN25" s="24">
        <f t="shared" si="22"/>
        <v>24878.67</v>
      </c>
      <c r="AO25" s="24">
        <f t="shared" si="23"/>
        <v>600</v>
      </c>
      <c r="AP25" s="24">
        <f t="shared" si="24"/>
        <v>25478.67</v>
      </c>
      <c r="AQ25" s="24">
        <f t="shared" si="25"/>
        <v>4586</v>
      </c>
      <c r="AR25" s="24">
        <f t="shared" si="26"/>
        <v>30064.67</v>
      </c>
    </row>
    <row r="26" spans="1:46" s="57" customFormat="1">
      <c r="A26" s="6">
        <v>21</v>
      </c>
      <c r="B26" s="7">
        <v>3562017869</v>
      </c>
      <c r="C26" s="4">
        <v>5024</v>
      </c>
      <c r="D26" s="4" t="s">
        <v>205</v>
      </c>
      <c r="E26" s="52" t="s">
        <v>206</v>
      </c>
      <c r="F26" s="53">
        <v>43405</v>
      </c>
      <c r="G26" s="5" t="s">
        <v>66</v>
      </c>
      <c r="H26" s="5" t="s">
        <v>202</v>
      </c>
      <c r="I26" s="54" t="s">
        <v>207</v>
      </c>
      <c r="J26" s="58" t="s">
        <v>208</v>
      </c>
      <c r="K26" s="6">
        <v>24</v>
      </c>
      <c r="L26" s="6">
        <v>23</v>
      </c>
      <c r="M26" s="6">
        <v>0</v>
      </c>
      <c r="N26" s="6">
        <v>0</v>
      </c>
      <c r="O26" s="6">
        <f t="shared" si="18"/>
        <v>23</v>
      </c>
      <c r="P26" s="6">
        <v>19070</v>
      </c>
      <c r="Q26" s="6">
        <v>8793</v>
      </c>
      <c r="R26" s="6">
        <v>0</v>
      </c>
      <c r="S26" s="6">
        <v>0</v>
      </c>
      <c r="T26" s="6">
        <f t="shared" si="31"/>
        <v>27863</v>
      </c>
      <c r="U26" s="6">
        <f t="shared" si="32"/>
        <v>18275</v>
      </c>
      <c r="V26" s="6">
        <f t="shared" si="32"/>
        <v>8427</v>
      </c>
      <c r="W26" s="6">
        <f t="shared" si="32"/>
        <v>0</v>
      </c>
      <c r="X26" s="6">
        <f t="shared" si="32"/>
        <v>0</v>
      </c>
      <c r="Y26" s="6">
        <f t="shared" si="3"/>
        <v>26702</v>
      </c>
      <c r="Z26" s="6">
        <f t="shared" si="4"/>
        <v>1522</v>
      </c>
      <c r="AA26" s="6">
        <f t="shared" si="5"/>
        <v>1538</v>
      </c>
      <c r="AB26" s="4">
        <f t="shared" si="6"/>
        <v>29762</v>
      </c>
      <c r="AC26" s="4">
        <f t="shared" si="7"/>
        <v>0</v>
      </c>
      <c r="AD26" s="24">
        <f t="shared" si="8"/>
        <v>2377.56</v>
      </c>
      <c r="AE26" s="4">
        <v>1</v>
      </c>
      <c r="AF26" s="4">
        <f t="shared" si="9"/>
        <v>27383</v>
      </c>
      <c r="AG26" s="55">
        <f t="shared" si="19"/>
        <v>0</v>
      </c>
      <c r="AH26" s="24">
        <f t="shared" si="33"/>
        <v>2575.69</v>
      </c>
      <c r="AI26" s="6">
        <v>2</v>
      </c>
      <c r="AJ26" s="4">
        <f t="shared" si="11"/>
        <v>168</v>
      </c>
      <c r="AK26" s="6"/>
      <c r="AL26" s="6">
        <v>600</v>
      </c>
      <c r="AM26" s="24">
        <f t="shared" si="12"/>
        <v>3345.69</v>
      </c>
      <c r="AN26" s="24">
        <f t="shared" si="22"/>
        <v>33107.69</v>
      </c>
      <c r="AO26" s="24">
        <f t="shared" si="23"/>
        <v>575</v>
      </c>
      <c r="AP26" s="24">
        <f t="shared" si="24"/>
        <v>33682.69</v>
      </c>
      <c r="AQ26" s="24">
        <f t="shared" si="25"/>
        <v>6063</v>
      </c>
      <c r="AR26" s="24">
        <f t="shared" si="26"/>
        <v>39745.69</v>
      </c>
    </row>
    <row r="27" spans="1:46" s="57" customFormat="1">
      <c r="A27" s="6">
        <v>22</v>
      </c>
      <c r="B27" s="7">
        <v>3562021019</v>
      </c>
      <c r="C27" s="4">
        <v>6196</v>
      </c>
      <c r="D27" s="4" t="s">
        <v>209</v>
      </c>
      <c r="E27" s="52" t="s">
        <v>210</v>
      </c>
      <c r="F27" s="53">
        <v>43584</v>
      </c>
      <c r="G27" s="5" t="s">
        <v>70</v>
      </c>
      <c r="H27" s="5" t="s">
        <v>191</v>
      </c>
      <c r="I27" s="59" t="s">
        <v>211</v>
      </c>
      <c r="J27" s="59" t="s">
        <v>212</v>
      </c>
      <c r="K27" s="6">
        <v>24</v>
      </c>
      <c r="L27" s="6">
        <v>22.5</v>
      </c>
      <c r="M27" s="6">
        <v>0</v>
      </c>
      <c r="N27" s="6">
        <v>0</v>
      </c>
      <c r="O27" s="6">
        <f t="shared" si="18"/>
        <v>22.5</v>
      </c>
      <c r="P27" s="6">
        <v>16792</v>
      </c>
      <c r="Q27" s="6">
        <v>0</v>
      </c>
      <c r="R27" s="6">
        <v>0</v>
      </c>
      <c r="S27" s="6">
        <v>0</v>
      </c>
      <c r="T27" s="6">
        <f t="shared" si="31"/>
        <v>16792</v>
      </c>
      <c r="U27" s="6">
        <f t="shared" si="32"/>
        <v>15743</v>
      </c>
      <c r="V27" s="6">
        <f t="shared" si="32"/>
        <v>0</v>
      </c>
      <c r="W27" s="6">
        <f t="shared" si="32"/>
        <v>0</v>
      </c>
      <c r="X27" s="6">
        <f t="shared" si="32"/>
        <v>0</v>
      </c>
      <c r="Y27" s="6">
        <f t="shared" si="3"/>
        <v>15743</v>
      </c>
      <c r="Z27" s="6">
        <f t="shared" si="4"/>
        <v>1311</v>
      </c>
      <c r="AA27" s="6">
        <f t="shared" si="5"/>
        <v>907</v>
      </c>
      <c r="AB27" s="4">
        <f t="shared" si="6"/>
        <v>17961</v>
      </c>
      <c r="AC27" s="4">
        <f t="shared" si="7"/>
        <v>135</v>
      </c>
      <c r="AD27" s="24">
        <f t="shared" si="8"/>
        <v>1998</v>
      </c>
      <c r="AE27" s="4">
        <v>1</v>
      </c>
      <c r="AF27" s="4">
        <f t="shared" si="9"/>
        <v>15827</v>
      </c>
      <c r="AG27" s="55">
        <f t="shared" si="19"/>
        <v>584</v>
      </c>
      <c r="AH27" s="24">
        <f t="shared" si="33"/>
        <v>2164.5</v>
      </c>
      <c r="AI27" s="6">
        <v>2</v>
      </c>
      <c r="AJ27" s="4">
        <f t="shared" si="11"/>
        <v>164</v>
      </c>
      <c r="AK27" s="6"/>
      <c r="AL27" s="6"/>
      <c r="AM27" s="24">
        <f t="shared" si="12"/>
        <v>2914.5</v>
      </c>
      <c r="AN27" s="24">
        <f t="shared" si="22"/>
        <v>20875.5</v>
      </c>
      <c r="AO27" s="24">
        <f t="shared" si="23"/>
        <v>563</v>
      </c>
      <c r="AP27" s="24">
        <f t="shared" si="24"/>
        <v>21438.5</v>
      </c>
      <c r="AQ27" s="24">
        <f t="shared" si="25"/>
        <v>3859</v>
      </c>
      <c r="AR27" s="24">
        <f t="shared" si="26"/>
        <v>25297.5</v>
      </c>
    </row>
    <row r="28" spans="1:46" s="57" customFormat="1">
      <c r="A28" s="6">
        <v>23</v>
      </c>
      <c r="B28" s="7">
        <v>3562021020</v>
      </c>
      <c r="C28" s="4">
        <v>6360</v>
      </c>
      <c r="D28" s="4" t="s">
        <v>213</v>
      </c>
      <c r="E28" s="52" t="s">
        <v>214</v>
      </c>
      <c r="F28" s="53">
        <v>43598</v>
      </c>
      <c r="G28" s="5" t="s">
        <v>70</v>
      </c>
      <c r="H28" s="5" t="s">
        <v>191</v>
      </c>
      <c r="I28" s="60" t="s">
        <v>215</v>
      </c>
      <c r="J28" s="59" t="s">
        <v>216</v>
      </c>
      <c r="K28" s="6">
        <v>24</v>
      </c>
      <c r="L28" s="6">
        <v>17</v>
      </c>
      <c r="M28" s="6">
        <v>0</v>
      </c>
      <c r="N28" s="6">
        <v>0</v>
      </c>
      <c r="O28" s="6">
        <f t="shared" si="18"/>
        <v>17</v>
      </c>
      <c r="P28" s="6">
        <v>16792</v>
      </c>
      <c r="Q28" s="6">
        <v>0</v>
      </c>
      <c r="R28" s="6">
        <v>0</v>
      </c>
      <c r="S28" s="6">
        <v>0</v>
      </c>
      <c r="T28" s="6">
        <f t="shared" si="31"/>
        <v>16792</v>
      </c>
      <c r="U28" s="6">
        <f t="shared" si="32"/>
        <v>11894</v>
      </c>
      <c r="V28" s="6">
        <f t="shared" si="32"/>
        <v>0</v>
      </c>
      <c r="W28" s="6">
        <f t="shared" si="32"/>
        <v>0</v>
      </c>
      <c r="X28" s="6">
        <f t="shared" si="32"/>
        <v>0</v>
      </c>
      <c r="Y28" s="6">
        <f t="shared" si="3"/>
        <v>11894</v>
      </c>
      <c r="Z28" s="6">
        <f t="shared" si="4"/>
        <v>991</v>
      </c>
      <c r="AA28" s="6">
        <f t="shared" si="5"/>
        <v>685</v>
      </c>
      <c r="AB28" s="4">
        <f t="shared" si="6"/>
        <v>13570</v>
      </c>
      <c r="AC28" s="4">
        <f t="shared" si="7"/>
        <v>102</v>
      </c>
      <c r="AD28" s="24">
        <f t="shared" si="8"/>
        <v>1509.48</v>
      </c>
      <c r="AE28" s="4">
        <v>1</v>
      </c>
      <c r="AF28" s="4">
        <f t="shared" si="9"/>
        <v>11958</v>
      </c>
      <c r="AG28" s="55">
        <f t="shared" si="19"/>
        <v>442</v>
      </c>
      <c r="AH28" s="24">
        <f t="shared" si="33"/>
        <v>1635.27</v>
      </c>
      <c r="AI28" s="6">
        <v>2</v>
      </c>
      <c r="AJ28" s="4">
        <f t="shared" si="11"/>
        <v>124</v>
      </c>
      <c r="AK28" s="6"/>
      <c r="AL28" s="6"/>
      <c r="AM28" s="24">
        <f t="shared" si="12"/>
        <v>2203.27</v>
      </c>
      <c r="AN28" s="24">
        <f t="shared" si="22"/>
        <v>15773.27</v>
      </c>
      <c r="AO28" s="24">
        <f t="shared" si="23"/>
        <v>425</v>
      </c>
      <c r="AP28" s="24">
        <f t="shared" si="24"/>
        <v>16198.27</v>
      </c>
      <c r="AQ28" s="24">
        <f t="shared" si="25"/>
        <v>2916</v>
      </c>
      <c r="AR28" s="24">
        <f t="shared" si="26"/>
        <v>19114.27</v>
      </c>
      <c r="AS28"/>
      <c r="AT28"/>
    </row>
    <row r="29" spans="1:46" s="57" customFormat="1">
      <c r="A29" s="6">
        <v>24</v>
      </c>
      <c r="B29" s="7">
        <v>3562019997</v>
      </c>
      <c r="C29" s="4">
        <v>5179</v>
      </c>
      <c r="D29" s="4" t="s">
        <v>217</v>
      </c>
      <c r="E29" s="52" t="s">
        <v>218</v>
      </c>
      <c r="F29" s="53">
        <v>43474</v>
      </c>
      <c r="G29" s="5" t="s">
        <v>70</v>
      </c>
      <c r="H29" s="5" t="s">
        <v>191</v>
      </c>
      <c r="I29" s="59" t="s">
        <v>219</v>
      </c>
      <c r="J29" s="59" t="s">
        <v>220</v>
      </c>
      <c r="K29" s="6">
        <v>24</v>
      </c>
      <c r="L29" s="6">
        <v>24</v>
      </c>
      <c r="M29" s="6">
        <v>0</v>
      </c>
      <c r="N29" s="6">
        <v>0</v>
      </c>
      <c r="O29" s="6">
        <f t="shared" si="18"/>
        <v>24</v>
      </c>
      <c r="P29" s="6">
        <v>16792</v>
      </c>
      <c r="Q29" s="6">
        <v>0</v>
      </c>
      <c r="R29" s="6">
        <v>0</v>
      </c>
      <c r="S29" s="6">
        <v>0</v>
      </c>
      <c r="T29" s="6">
        <f t="shared" si="31"/>
        <v>16792</v>
      </c>
      <c r="U29" s="6">
        <f t="shared" si="32"/>
        <v>16792</v>
      </c>
      <c r="V29" s="6">
        <f t="shared" si="32"/>
        <v>0</v>
      </c>
      <c r="W29" s="6">
        <f t="shared" si="32"/>
        <v>0</v>
      </c>
      <c r="X29" s="6">
        <f t="shared" si="32"/>
        <v>0</v>
      </c>
      <c r="Y29" s="6">
        <f t="shared" si="3"/>
        <v>16792</v>
      </c>
      <c r="Z29" s="6">
        <f t="shared" si="4"/>
        <v>1399</v>
      </c>
      <c r="AA29" s="6">
        <f t="shared" si="5"/>
        <v>967</v>
      </c>
      <c r="AB29" s="4">
        <f t="shared" si="6"/>
        <v>19158</v>
      </c>
      <c r="AC29" s="4">
        <f t="shared" si="7"/>
        <v>144</v>
      </c>
      <c r="AD29" s="24">
        <f t="shared" si="8"/>
        <v>2131.08</v>
      </c>
      <c r="AE29" s="4">
        <v>1</v>
      </c>
      <c r="AF29" s="4">
        <f t="shared" si="9"/>
        <v>16882</v>
      </c>
      <c r="AG29" s="55">
        <f t="shared" si="19"/>
        <v>623</v>
      </c>
      <c r="AH29" s="24">
        <f t="shared" si="33"/>
        <v>2308.67</v>
      </c>
      <c r="AI29" s="6">
        <v>2</v>
      </c>
      <c r="AJ29" s="4">
        <f t="shared" si="11"/>
        <v>175</v>
      </c>
      <c r="AK29" s="6"/>
      <c r="AL29" s="6"/>
      <c r="AM29" s="24">
        <f t="shared" si="12"/>
        <v>3108.67</v>
      </c>
      <c r="AN29" s="24">
        <f t="shared" si="22"/>
        <v>22266.67</v>
      </c>
      <c r="AO29" s="24">
        <f t="shared" si="23"/>
        <v>600</v>
      </c>
      <c r="AP29" s="24">
        <f t="shared" si="24"/>
        <v>22866.67</v>
      </c>
      <c r="AQ29" s="24">
        <f t="shared" si="25"/>
        <v>4116</v>
      </c>
      <c r="AR29" s="24">
        <f t="shared" si="26"/>
        <v>26982.67</v>
      </c>
    </row>
    <row r="30" spans="1:46" s="57" customFormat="1">
      <c r="A30" s="6">
        <v>25</v>
      </c>
      <c r="B30" s="7">
        <v>3562027441</v>
      </c>
      <c r="C30" s="4"/>
      <c r="D30" s="61" t="s">
        <v>221</v>
      </c>
      <c r="E30" s="62" t="s">
        <v>222</v>
      </c>
      <c r="F30" s="53">
        <v>43648</v>
      </c>
      <c r="G30" s="5" t="s">
        <v>70</v>
      </c>
      <c r="H30" s="5" t="s">
        <v>191</v>
      </c>
      <c r="I30" s="59" t="s">
        <v>223</v>
      </c>
      <c r="J30" s="59" t="s">
        <v>224</v>
      </c>
      <c r="K30" s="6">
        <v>24</v>
      </c>
      <c r="L30" s="6">
        <v>24</v>
      </c>
      <c r="M30" s="6">
        <v>0</v>
      </c>
      <c r="N30" s="6">
        <v>0</v>
      </c>
      <c r="O30" s="6">
        <f t="shared" si="18"/>
        <v>24</v>
      </c>
      <c r="P30" s="6">
        <v>16792</v>
      </c>
      <c r="Q30" s="6">
        <v>0</v>
      </c>
      <c r="R30" s="6">
        <v>0</v>
      </c>
      <c r="S30" s="6">
        <v>0</v>
      </c>
      <c r="T30" s="6">
        <f t="shared" ref="T30:T33" si="34">ROUND(SUM(P30:S30),0)</f>
        <v>16792</v>
      </c>
      <c r="U30" s="6">
        <f t="shared" si="32"/>
        <v>16792</v>
      </c>
      <c r="V30" s="6">
        <f t="shared" si="32"/>
        <v>0</v>
      </c>
      <c r="W30" s="6">
        <f t="shared" si="32"/>
        <v>0</v>
      </c>
      <c r="X30" s="6">
        <f t="shared" si="32"/>
        <v>0</v>
      </c>
      <c r="Y30" s="6">
        <f t="shared" si="3"/>
        <v>16792</v>
      </c>
      <c r="Z30" s="6">
        <f t="shared" si="4"/>
        <v>1399</v>
      </c>
      <c r="AA30" s="6">
        <f t="shared" si="5"/>
        <v>967</v>
      </c>
      <c r="AB30" s="4">
        <f t="shared" si="6"/>
        <v>19158</v>
      </c>
      <c r="AC30" s="4">
        <f t="shared" si="7"/>
        <v>144</v>
      </c>
      <c r="AD30" s="24">
        <f t="shared" si="8"/>
        <v>2131.08</v>
      </c>
      <c r="AE30" s="4">
        <v>1</v>
      </c>
      <c r="AF30" s="4">
        <f t="shared" si="9"/>
        <v>16882</v>
      </c>
      <c r="AG30" s="55">
        <f t="shared" si="19"/>
        <v>623</v>
      </c>
      <c r="AH30" s="24">
        <f t="shared" si="33"/>
        <v>2308.67</v>
      </c>
      <c r="AI30" s="6">
        <v>2</v>
      </c>
      <c r="AJ30" s="4">
        <f t="shared" si="11"/>
        <v>175</v>
      </c>
      <c r="AK30" s="6"/>
      <c r="AL30" s="6"/>
      <c r="AM30" s="24">
        <f t="shared" si="12"/>
        <v>3108.67</v>
      </c>
      <c r="AN30" s="24">
        <f t="shared" si="22"/>
        <v>22266.67</v>
      </c>
      <c r="AO30" s="24">
        <f t="shared" si="23"/>
        <v>600</v>
      </c>
      <c r="AP30" s="24">
        <f t="shared" si="24"/>
        <v>22866.67</v>
      </c>
      <c r="AQ30" s="24">
        <f t="shared" si="25"/>
        <v>4116</v>
      </c>
      <c r="AR30" s="24">
        <f t="shared" si="26"/>
        <v>26982.67</v>
      </c>
      <c r="AS30" s="63"/>
      <c r="AT30" s="63"/>
    </row>
    <row r="31" spans="1:46" s="57" customFormat="1">
      <c r="A31" s="6">
        <v>26</v>
      </c>
      <c r="B31" s="7">
        <v>3562026906</v>
      </c>
      <c r="C31" s="4"/>
      <c r="D31" s="61" t="s">
        <v>225</v>
      </c>
      <c r="E31" s="62" t="s">
        <v>226</v>
      </c>
      <c r="F31" s="53">
        <v>43654</v>
      </c>
      <c r="G31" s="5" t="s">
        <v>70</v>
      </c>
      <c r="H31" s="5" t="s">
        <v>191</v>
      </c>
      <c r="I31" s="59" t="s">
        <v>227</v>
      </c>
      <c r="J31" s="59" t="s">
        <v>228</v>
      </c>
      <c r="K31" s="6">
        <v>24</v>
      </c>
      <c r="L31" s="6">
        <v>22</v>
      </c>
      <c r="M31" s="6">
        <v>0</v>
      </c>
      <c r="N31" s="6">
        <v>0</v>
      </c>
      <c r="O31" s="6">
        <f t="shared" si="18"/>
        <v>22</v>
      </c>
      <c r="P31" s="6">
        <v>16792</v>
      </c>
      <c r="Q31" s="6">
        <v>0</v>
      </c>
      <c r="R31" s="6">
        <v>0</v>
      </c>
      <c r="S31" s="6">
        <v>0</v>
      </c>
      <c r="T31" s="6">
        <f t="shared" si="34"/>
        <v>16792</v>
      </c>
      <c r="U31" s="6">
        <f t="shared" si="32"/>
        <v>15393</v>
      </c>
      <c r="V31" s="6">
        <f t="shared" si="32"/>
        <v>0</v>
      </c>
      <c r="W31" s="6">
        <f t="shared" si="32"/>
        <v>0</v>
      </c>
      <c r="X31" s="6">
        <f t="shared" si="32"/>
        <v>0</v>
      </c>
      <c r="Y31" s="6">
        <f t="shared" si="3"/>
        <v>15393</v>
      </c>
      <c r="Z31" s="6">
        <f t="shared" si="4"/>
        <v>1282</v>
      </c>
      <c r="AA31" s="6">
        <f t="shared" si="5"/>
        <v>887</v>
      </c>
      <c r="AB31" s="4">
        <f t="shared" si="6"/>
        <v>17562</v>
      </c>
      <c r="AC31" s="4">
        <f t="shared" si="7"/>
        <v>132</v>
      </c>
      <c r="AD31" s="24">
        <f t="shared" si="8"/>
        <v>1953.6</v>
      </c>
      <c r="AE31" s="4">
        <v>1</v>
      </c>
      <c r="AF31" s="4">
        <f t="shared" si="9"/>
        <v>15475</v>
      </c>
      <c r="AG31" s="55">
        <f t="shared" si="19"/>
        <v>571</v>
      </c>
      <c r="AH31" s="24">
        <f t="shared" si="33"/>
        <v>2116.4</v>
      </c>
      <c r="AI31" s="6">
        <v>2</v>
      </c>
      <c r="AJ31" s="4">
        <f t="shared" si="11"/>
        <v>160</v>
      </c>
      <c r="AK31" s="6"/>
      <c r="AL31" s="6"/>
      <c r="AM31" s="24">
        <f t="shared" si="12"/>
        <v>2849.4</v>
      </c>
      <c r="AN31" s="24">
        <f t="shared" si="22"/>
        <v>20411.400000000001</v>
      </c>
      <c r="AO31" s="24">
        <f t="shared" si="23"/>
        <v>550</v>
      </c>
      <c r="AP31" s="24">
        <f t="shared" si="24"/>
        <v>20961.400000000001</v>
      </c>
      <c r="AQ31" s="24">
        <f t="shared" si="25"/>
        <v>3773</v>
      </c>
      <c r="AR31" s="24">
        <f t="shared" si="26"/>
        <v>24734.400000000001</v>
      </c>
      <c r="AS31" s="63"/>
      <c r="AT31" s="63"/>
    </row>
    <row r="32" spans="1:46" s="57" customFormat="1">
      <c r="A32" s="6">
        <v>27</v>
      </c>
      <c r="B32" s="7">
        <v>3562027124</v>
      </c>
      <c r="C32" s="4"/>
      <c r="D32" s="61" t="s">
        <v>229</v>
      </c>
      <c r="E32" s="62" t="s">
        <v>230</v>
      </c>
      <c r="F32" s="53">
        <v>43647</v>
      </c>
      <c r="G32" s="5" t="s">
        <v>66</v>
      </c>
      <c r="H32" s="5" t="s">
        <v>202</v>
      </c>
      <c r="I32" s="59" t="s">
        <v>231</v>
      </c>
      <c r="J32" s="59" t="s">
        <v>232</v>
      </c>
      <c r="K32" s="6">
        <v>24</v>
      </c>
      <c r="L32" s="6">
        <v>21</v>
      </c>
      <c r="M32" s="6">
        <v>0</v>
      </c>
      <c r="N32" s="6">
        <v>0</v>
      </c>
      <c r="O32" s="6">
        <f t="shared" si="18"/>
        <v>21</v>
      </c>
      <c r="P32" s="6">
        <v>18702</v>
      </c>
      <c r="Q32" s="6">
        <v>0</v>
      </c>
      <c r="R32" s="6">
        <v>0</v>
      </c>
      <c r="S32" s="6">
        <v>0</v>
      </c>
      <c r="T32" s="6">
        <f t="shared" si="34"/>
        <v>18702</v>
      </c>
      <c r="U32" s="6">
        <f t="shared" si="32"/>
        <v>16364</v>
      </c>
      <c r="V32" s="6">
        <f t="shared" si="32"/>
        <v>0</v>
      </c>
      <c r="W32" s="6">
        <f t="shared" si="32"/>
        <v>0</v>
      </c>
      <c r="X32" s="6">
        <f t="shared" si="32"/>
        <v>0</v>
      </c>
      <c r="Y32" s="6">
        <f t="shared" si="3"/>
        <v>16364</v>
      </c>
      <c r="Z32" s="6">
        <f t="shared" si="4"/>
        <v>1363</v>
      </c>
      <c r="AA32" s="6">
        <f t="shared" si="5"/>
        <v>943</v>
      </c>
      <c r="AB32" s="4">
        <f t="shared" si="6"/>
        <v>18670</v>
      </c>
      <c r="AC32" s="4">
        <f t="shared" si="7"/>
        <v>141</v>
      </c>
      <c r="AD32" s="24">
        <f t="shared" si="8"/>
        <v>2076.84</v>
      </c>
      <c r="AE32" s="4">
        <v>1</v>
      </c>
      <c r="AF32" s="4">
        <f t="shared" si="9"/>
        <v>16451</v>
      </c>
      <c r="AG32" s="55">
        <f t="shared" si="19"/>
        <v>607</v>
      </c>
      <c r="AH32" s="24">
        <f t="shared" si="33"/>
        <v>2249.91</v>
      </c>
      <c r="AI32" s="6">
        <v>2</v>
      </c>
      <c r="AJ32" s="4">
        <f t="shared" si="11"/>
        <v>153</v>
      </c>
      <c r="AK32" s="6"/>
      <c r="AL32" s="6"/>
      <c r="AM32" s="24">
        <f t="shared" si="12"/>
        <v>3011.91</v>
      </c>
      <c r="AN32" s="24">
        <f t="shared" si="22"/>
        <v>21681.91</v>
      </c>
      <c r="AO32" s="24">
        <f t="shared" si="23"/>
        <v>525</v>
      </c>
      <c r="AP32" s="24">
        <f t="shared" si="24"/>
        <v>22206.91</v>
      </c>
      <c r="AQ32" s="24">
        <f t="shared" si="25"/>
        <v>3997</v>
      </c>
      <c r="AR32" s="24">
        <f t="shared" si="26"/>
        <v>26203.91</v>
      </c>
      <c r="AS32" s="63"/>
      <c r="AT32" s="63"/>
    </row>
    <row r="33" spans="1:53" s="57" customFormat="1">
      <c r="A33" s="6">
        <v>28</v>
      </c>
      <c r="B33" s="7">
        <v>3562027123</v>
      </c>
      <c r="C33" s="4"/>
      <c r="D33" s="61" t="s">
        <v>233</v>
      </c>
      <c r="E33" s="62" t="s">
        <v>234</v>
      </c>
      <c r="F33" s="53">
        <v>43648</v>
      </c>
      <c r="G33" s="5" t="s">
        <v>70</v>
      </c>
      <c r="H33" s="5" t="s">
        <v>191</v>
      </c>
      <c r="I33" s="59" t="s">
        <v>235</v>
      </c>
      <c r="J33" s="59" t="s">
        <v>236</v>
      </c>
      <c r="K33" s="6">
        <v>24</v>
      </c>
      <c r="L33" s="6">
        <v>24</v>
      </c>
      <c r="M33" s="6">
        <v>0</v>
      </c>
      <c r="N33" s="6">
        <v>0</v>
      </c>
      <c r="O33" s="6">
        <f t="shared" si="18"/>
        <v>24</v>
      </c>
      <c r="P33" s="6">
        <v>16792</v>
      </c>
      <c r="Q33" s="6">
        <v>0</v>
      </c>
      <c r="R33" s="6">
        <v>0</v>
      </c>
      <c r="S33" s="6">
        <v>0</v>
      </c>
      <c r="T33" s="6">
        <f t="shared" si="34"/>
        <v>16792</v>
      </c>
      <c r="U33" s="6">
        <f t="shared" si="32"/>
        <v>16792</v>
      </c>
      <c r="V33" s="6">
        <f t="shared" si="32"/>
        <v>0</v>
      </c>
      <c r="W33" s="6">
        <f t="shared" si="32"/>
        <v>0</v>
      </c>
      <c r="X33" s="6">
        <f t="shared" si="32"/>
        <v>0</v>
      </c>
      <c r="Y33" s="6">
        <f t="shared" si="3"/>
        <v>16792</v>
      </c>
      <c r="Z33" s="6">
        <f t="shared" si="4"/>
        <v>1399</v>
      </c>
      <c r="AA33" s="6">
        <f t="shared" si="5"/>
        <v>967</v>
      </c>
      <c r="AB33" s="4">
        <f t="shared" si="6"/>
        <v>19158</v>
      </c>
      <c r="AC33" s="4">
        <f t="shared" si="7"/>
        <v>144</v>
      </c>
      <c r="AD33" s="24">
        <f t="shared" si="8"/>
        <v>2131.08</v>
      </c>
      <c r="AE33" s="4">
        <v>1</v>
      </c>
      <c r="AF33" s="4">
        <f t="shared" si="9"/>
        <v>16882</v>
      </c>
      <c r="AG33" s="55">
        <f t="shared" si="19"/>
        <v>623</v>
      </c>
      <c r="AH33" s="24">
        <f t="shared" si="33"/>
        <v>2308.67</v>
      </c>
      <c r="AI33" s="6">
        <v>2</v>
      </c>
      <c r="AJ33" s="4">
        <f t="shared" si="11"/>
        <v>175</v>
      </c>
      <c r="AK33" s="6"/>
      <c r="AL33" s="6"/>
      <c r="AM33" s="24">
        <f t="shared" si="12"/>
        <v>3108.67</v>
      </c>
      <c r="AN33" s="24">
        <f t="shared" si="22"/>
        <v>22266.67</v>
      </c>
      <c r="AO33" s="24">
        <f t="shared" si="23"/>
        <v>600</v>
      </c>
      <c r="AP33" s="24">
        <f t="shared" si="24"/>
        <v>22866.67</v>
      </c>
      <c r="AQ33" s="24">
        <f t="shared" si="25"/>
        <v>4116</v>
      </c>
      <c r="AR33" s="24">
        <f t="shared" si="26"/>
        <v>26982.67</v>
      </c>
      <c r="AS33" s="63"/>
      <c r="AT33" s="63"/>
    </row>
    <row r="34" spans="1:53" s="57" customFormat="1">
      <c r="A34" s="6">
        <v>29</v>
      </c>
      <c r="B34" s="7">
        <v>3562030249</v>
      </c>
      <c r="C34" s="4"/>
      <c r="D34" s="61" t="s">
        <v>237</v>
      </c>
      <c r="E34" s="62" t="s">
        <v>238</v>
      </c>
      <c r="F34" s="53">
        <v>43753</v>
      </c>
      <c r="G34" s="5" t="s">
        <v>66</v>
      </c>
      <c r="H34" s="5" t="s">
        <v>202</v>
      </c>
      <c r="I34" s="59" t="s">
        <v>239</v>
      </c>
      <c r="J34" s="59" t="s">
        <v>240</v>
      </c>
      <c r="K34" s="6">
        <v>24</v>
      </c>
      <c r="L34" s="6">
        <v>23</v>
      </c>
      <c r="M34" s="6">
        <v>0</v>
      </c>
      <c r="N34" s="6">
        <v>0</v>
      </c>
      <c r="O34" s="6">
        <f t="shared" si="18"/>
        <v>23</v>
      </c>
      <c r="P34" s="6">
        <v>19070</v>
      </c>
      <c r="Q34" s="6">
        <v>2210</v>
      </c>
      <c r="R34" s="6">
        <v>0</v>
      </c>
      <c r="S34" s="6">
        <v>0</v>
      </c>
      <c r="T34" s="6">
        <f t="shared" ref="T34:T37" si="35">ROUND(SUM(P34:S34),0)</f>
        <v>21280</v>
      </c>
      <c r="U34" s="6">
        <f t="shared" si="32"/>
        <v>18275</v>
      </c>
      <c r="V34" s="6">
        <f t="shared" si="32"/>
        <v>2118</v>
      </c>
      <c r="W34" s="6">
        <f t="shared" si="32"/>
        <v>0</v>
      </c>
      <c r="X34" s="6">
        <f t="shared" si="32"/>
        <v>0</v>
      </c>
      <c r="Y34" s="6">
        <f t="shared" si="3"/>
        <v>20393</v>
      </c>
      <c r="Z34" s="6">
        <f t="shared" si="4"/>
        <v>1522</v>
      </c>
      <c r="AA34" s="6">
        <f t="shared" si="5"/>
        <v>1175</v>
      </c>
      <c r="AB34" s="4">
        <f t="shared" si="6"/>
        <v>23090</v>
      </c>
      <c r="AC34" s="4">
        <f t="shared" si="7"/>
        <v>0</v>
      </c>
      <c r="AD34" s="24">
        <f t="shared" si="8"/>
        <v>2334</v>
      </c>
      <c r="AE34" s="4">
        <v>1</v>
      </c>
      <c r="AF34" s="4">
        <f t="shared" si="9"/>
        <v>20755</v>
      </c>
      <c r="AG34" s="55">
        <f t="shared" si="19"/>
        <v>0</v>
      </c>
      <c r="AH34" s="24">
        <f t="shared" si="33"/>
        <v>2528.5</v>
      </c>
      <c r="AI34" s="6">
        <v>2</v>
      </c>
      <c r="AJ34" s="4">
        <f t="shared" si="11"/>
        <v>168</v>
      </c>
      <c r="AK34" s="6"/>
      <c r="AL34" s="6">
        <v>500</v>
      </c>
      <c r="AM34" s="24">
        <f t="shared" si="12"/>
        <v>3198.5</v>
      </c>
      <c r="AN34" s="24">
        <f t="shared" si="22"/>
        <v>26288.5</v>
      </c>
      <c r="AO34" s="24">
        <f t="shared" si="23"/>
        <v>575</v>
      </c>
      <c r="AP34" s="24">
        <f t="shared" si="24"/>
        <v>26863.5</v>
      </c>
      <c r="AQ34" s="24">
        <f t="shared" si="25"/>
        <v>4835</v>
      </c>
      <c r="AR34" s="24">
        <f t="shared" si="26"/>
        <v>31698.5</v>
      </c>
      <c r="AS34" s="63"/>
      <c r="AT34" s="63"/>
    </row>
    <row r="35" spans="1:53" s="57" customFormat="1">
      <c r="A35" s="6">
        <v>30</v>
      </c>
      <c r="B35" s="7">
        <v>3562030436</v>
      </c>
      <c r="C35" s="4"/>
      <c r="D35" s="61" t="s">
        <v>241</v>
      </c>
      <c r="E35" s="62" t="s">
        <v>242</v>
      </c>
      <c r="F35" s="53">
        <v>43762</v>
      </c>
      <c r="G35" s="5" t="s">
        <v>66</v>
      </c>
      <c r="H35" s="5" t="s">
        <v>191</v>
      </c>
      <c r="I35" s="59" t="s">
        <v>243</v>
      </c>
      <c r="J35" s="59" t="s">
        <v>244</v>
      </c>
      <c r="K35" s="6">
        <v>24</v>
      </c>
      <c r="L35" s="6">
        <v>24</v>
      </c>
      <c r="M35" s="6">
        <v>0</v>
      </c>
      <c r="N35" s="6">
        <v>0</v>
      </c>
      <c r="O35" s="6">
        <f t="shared" si="18"/>
        <v>24</v>
      </c>
      <c r="P35" s="6">
        <v>18939</v>
      </c>
      <c r="Q35" s="6">
        <v>0</v>
      </c>
      <c r="R35" s="6">
        <v>0</v>
      </c>
      <c r="S35" s="6">
        <v>0</v>
      </c>
      <c r="T35" s="6">
        <f t="shared" si="35"/>
        <v>18939</v>
      </c>
      <c r="U35" s="6">
        <f t="shared" si="32"/>
        <v>18939</v>
      </c>
      <c r="V35" s="6">
        <f t="shared" si="32"/>
        <v>0</v>
      </c>
      <c r="W35" s="6">
        <f t="shared" si="32"/>
        <v>0</v>
      </c>
      <c r="X35" s="6">
        <f t="shared" si="32"/>
        <v>0</v>
      </c>
      <c r="Y35" s="6">
        <f t="shared" si="3"/>
        <v>18939</v>
      </c>
      <c r="Z35" s="6">
        <f t="shared" si="4"/>
        <v>1578</v>
      </c>
      <c r="AA35" s="6">
        <f t="shared" si="5"/>
        <v>1091</v>
      </c>
      <c r="AB35" s="4">
        <f t="shared" si="6"/>
        <v>21608</v>
      </c>
      <c r="AC35" s="4">
        <f t="shared" si="7"/>
        <v>163</v>
      </c>
      <c r="AD35" s="24">
        <f t="shared" si="8"/>
        <v>2403.6</v>
      </c>
      <c r="AE35" s="4">
        <v>1</v>
      </c>
      <c r="AF35" s="4">
        <f t="shared" si="9"/>
        <v>19040</v>
      </c>
      <c r="AG35" s="55">
        <f t="shared" si="19"/>
        <v>703</v>
      </c>
      <c r="AH35" s="24">
        <f t="shared" si="33"/>
        <v>2603.9</v>
      </c>
      <c r="AI35" s="6">
        <v>2</v>
      </c>
      <c r="AJ35" s="4">
        <f t="shared" si="11"/>
        <v>175</v>
      </c>
      <c r="AK35" s="6"/>
      <c r="AL35" s="6"/>
      <c r="AM35" s="24">
        <f t="shared" si="12"/>
        <v>3483.9</v>
      </c>
      <c r="AN35" s="24">
        <f t="shared" si="22"/>
        <v>25091.9</v>
      </c>
      <c r="AO35" s="24">
        <f t="shared" si="23"/>
        <v>600</v>
      </c>
      <c r="AP35" s="24">
        <f t="shared" si="24"/>
        <v>25691.9</v>
      </c>
      <c r="AQ35" s="24">
        <f t="shared" si="25"/>
        <v>4625</v>
      </c>
      <c r="AR35" s="24">
        <f t="shared" si="26"/>
        <v>30316.9</v>
      </c>
      <c r="AS35" s="63"/>
      <c r="AT35" s="63"/>
    </row>
    <row r="36" spans="1:53" s="57" customFormat="1">
      <c r="A36" s="6">
        <v>31</v>
      </c>
      <c r="B36" s="7">
        <v>3562037113</v>
      </c>
      <c r="C36" s="64"/>
      <c r="D36" s="65" t="s">
        <v>245</v>
      </c>
      <c r="E36" s="55" t="s">
        <v>246</v>
      </c>
      <c r="F36" s="53" t="s">
        <v>247</v>
      </c>
      <c r="G36" s="65" t="s">
        <v>66</v>
      </c>
      <c r="H36" s="5" t="s">
        <v>202</v>
      </c>
      <c r="I36" s="66" t="s">
        <v>248</v>
      </c>
      <c r="J36" s="66" t="s">
        <v>249</v>
      </c>
      <c r="K36" s="6">
        <v>24</v>
      </c>
      <c r="L36" s="6">
        <v>24</v>
      </c>
      <c r="M36" s="6">
        <v>0</v>
      </c>
      <c r="N36" s="6">
        <v>0</v>
      </c>
      <c r="O36" s="6">
        <f t="shared" si="18"/>
        <v>24</v>
      </c>
      <c r="P36" s="6">
        <v>18939</v>
      </c>
      <c r="Q36" s="64">
        <v>0</v>
      </c>
      <c r="R36" s="6">
        <v>0</v>
      </c>
      <c r="S36" s="64">
        <v>0</v>
      </c>
      <c r="T36" s="64">
        <f t="shared" si="35"/>
        <v>18939</v>
      </c>
      <c r="U36" s="64">
        <f t="shared" si="32"/>
        <v>18939</v>
      </c>
      <c r="V36" s="64">
        <f t="shared" si="32"/>
        <v>0</v>
      </c>
      <c r="W36" s="64">
        <f t="shared" si="32"/>
        <v>0</v>
      </c>
      <c r="X36" s="64">
        <f t="shared" si="32"/>
        <v>0</v>
      </c>
      <c r="Y36" s="6">
        <f t="shared" si="3"/>
        <v>18939</v>
      </c>
      <c r="Z36" s="6">
        <f t="shared" si="4"/>
        <v>1578</v>
      </c>
      <c r="AA36" s="6">
        <f t="shared" si="5"/>
        <v>1091</v>
      </c>
      <c r="AB36" s="4">
        <f t="shared" si="6"/>
        <v>21608</v>
      </c>
      <c r="AC36" s="4">
        <f t="shared" si="7"/>
        <v>163</v>
      </c>
      <c r="AD36" s="24">
        <f t="shared" si="8"/>
        <v>2403.6</v>
      </c>
      <c r="AE36" s="4">
        <v>1</v>
      </c>
      <c r="AF36" s="4">
        <f t="shared" si="9"/>
        <v>19040</v>
      </c>
      <c r="AG36" s="55">
        <f t="shared" si="19"/>
        <v>703</v>
      </c>
      <c r="AH36" s="24">
        <f t="shared" si="33"/>
        <v>2603.9</v>
      </c>
      <c r="AI36" s="6">
        <v>2</v>
      </c>
      <c r="AJ36" s="4">
        <f t="shared" si="11"/>
        <v>175</v>
      </c>
      <c r="AK36" s="6"/>
      <c r="AL36" s="6"/>
      <c r="AM36" s="24">
        <f t="shared" si="12"/>
        <v>3483.9</v>
      </c>
      <c r="AN36" s="24">
        <f t="shared" si="22"/>
        <v>25091.9</v>
      </c>
      <c r="AO36" s="24">
        <f t="shared" si="23"/>
        <v>600</v>
      </c>
      <c r="AP36" s="24">
        <f t="shared" si="24"/>
        <v>25691.9</v>
      </c>
      <c r="AQ36" s="24">
        <f t="shared" si="25"/>
        <v>4625</v>
      </c>
      <c r="AR36" s="24">
        <f t="shared" si="26"/>
        <v>30316.9</v>
      </c>
    </row>
    <row r="37" spans="1:53" s="57" customFormat="1" ht="15">
      <c r="A37" s="6">
        <v>32</v>
      </c>
      <c r="B37" s="7">
        <v>3562017867</v>
      </c>
      <c r="C37" s="64"/>
      <c r="D37" s="65" t="s">
        <v>250</v>
      </c>
      <c r="E37" s="55" t="s">
        <v>251</v>
      </c>
      <c r="F37" s="53">
        <v>44136</v>
      </c>
      <c r="G37" s="65" t="s">
        <v>66</v>
      </c>
      <c r="H37" s="56" t="s">
        <v>202</v>
      </c>
      <c r="I37" s="67" t="s">
        <v>252</v>
      </c>
      <c r="J37" s="67" t="s">
        <v>253</v>
      </c>
      <c r="K37" s="6">
        <v>24</v>
      </c>
      <c r="L37" s="6">
        <v>24</v>
      </c>
      <c r="M37" s="6">
        <v>0</v>
      </c>
      <c r="N37" s="6">
        <v>0</v>
      </c>
      <c r="O37" s="6">
        <f t="shared" si="18"/>
        <v>24</v>
      </c>
      <c r="P37" s="6">
        <v>19070</v>
      </c>
      <c r="Q37" s="64">
        <v>1187</v>
      </c>
      <c r="R37" s="6">
        <v>0</v>
      </c>
      <c r="S37" s="64">
        <v>0</v>
      </c>
      <c r="T37" s="64">
        <f t="shared" si="35"/>
        <v>20257</v>
      </c>
      <c r="U37" s="64">
        <f t="shared" si="32"/>
        <v>19070</v>
      </c>
      <c r="V37" s="64">
        <f t="shared" si="32"/>
        <v>1187</v>
      </c>
      <c r="W37" s="64">
        <f t="shared" si="32"/>
        <v>0</v>
      </c>
      <c r="X37" s="64">
        <f t="shared" si="32"/>
        <v>0</v>
      </c>
      <c r="Y37" s="6">
        <f t="shared" si="3"/>
        <v>20257</v>
      </c>
      <c r="Z37" s="6">
        <f t="shared" si="4"/>
        <v>1589</v>
      </c>
      <c r="AA37" s="6">
        <f t="shared" si="5"/>
        <v>1167</v>
      </c>
      <c r="AB37" s="4">
        <f t="shared" si="6"/>
        <v>23013</v>
      </c>
      <c r="AC37" s="4">
        <f t="shared" si="7"/>
        <v>173</v>
      </c>
      <c r="AD37" s="24">
        <f t="shared" si="8"/>
        <v>2428.44</v>
      </c>
      <c r="AE37" s="4">
        <v>1</v>
      </c>
      <c r="AF37" s="4">
        <f t="shared" si="9"/>
        <v>20411</v>
      </c>
      <c r="AG37" s="55">
        <f t="shared" si="19"/>
        <v>748</v>
      </c>
      <c r="AH37" s="24">
        <f t="shared" si="33"/>
        <v>2630.81</v>
      </c>
      <c r="AI37" s="6">
        <v>2</v>
      </c>
      <c r="AJ37" s="4">
        <f t="shared" si="11"/>
        <v>175</v>
      </c>
      <c r="AK37" s="6"/>
      <c r="AL37" s="6"/>
      <c r="AM37" s="24">
        <f t="shared" si="12"/>
        <v>3555.81</v>
      </c>
      <c r="AN37" s="24">
        <f t="shared" si="22"/>
        <v>26568.81</v>
      </c>
      <c r="AO37" s="24">
        <f t="shared" si="23"/>
        <v>600</v>
      </c>
      <c r="AP37" s="24">
        <f t="shared" si="24"/>
        <v>27168.81</v>
      </c>
      <c r="AQ37" s="24">
        <f t="shared" si="25"/>
        <v>4890</v>
      </c>
      <c r="AR37" s="24">
        <f t="shared" si="26"/>
        <v>32058.81</v>
      </c>
    </row>
    <row r="38" spans="1:53">
      <c r="A38" s="6">
        <v>33</v>
      </c>
      <c r="B38" s="7">
        <v>3562029973</v>
      </c>
      <c r="C38" s="6">
        <v>6596</v>
      </c>
      <c r="D38" s="4" t="s">
        <v>254</v>
      </c>
      <c r="E38" s="4" t="s">
        <v>255</v>
      </c>
      <c r="F38" s="5">
        <v>43647</v>
      </c>
      <c r="G38" s="5" t="s">
        <v>256</v>
      </c>
      <c r="H38" s="5" t="s">
        <v>191</v>
      </c>
      <c r="I38" s="6" t="s">
        <v>257</v>
      </c>
      <c r="J38" s="6" t="s">
        <v>258</v>
      </c>
      <c r="K38" s="6">
        <v>24</v>
      </c>
      <c r="L38" s="6">
        <v>17</v>
      </c>
      <c r="M38" s="6">
        <v>0</v>
      </c>
      <c r="N38" s="6">
        <v>0</v>
      </c>
      <c r="O38" s="6">
        <f t="shared" si="18"/>
        <v>17</v>
      </c>
      <c r="P38" s="6">
        <v>16792</v>
      </c>
      <c r="Q38" s="6">
        <v>0</v>
      </c>
      <c r="R38" s="6">
        <v>0</v>
      </c>
      <c r="S38" s="6">
        <v>0</v>
      </c>
      <c r="T38" s="6">
        <f>ROUND(SUM(P38:S38),0)</f>
        <v>16792</v>
      </c>
      <c r="U38" s="6">
        <f t="shared" si="32"/>
        <v>11894</v>
      </c>
      <c r="V38" s="6">
        <f t="shared" si="32"/>
        <v>0</v>
      </c>
      <c r="W38" s="6">
        <f t="shared" si="32"/>
        <v>0</v>
      </c>
      <c r="X38" s="6">
        <f t="shared" si="32"/>
        <v>0</v>
      </c>
      <c r="Y38" s="6">
        <f>ROUND(SUM(U38:X38),0)</f>
        <v>11894</v>
      </c>
      <c r="Z38" s="6">
        <f>ROUND(U38*8.33/100,0)</f>
        <v>991</v>
      </c>
      <c r="AA38" s="6">
        <f>ROUND(Y38*5.76%,0)</f>
        <v>685</v>
      </c>
      <c r="AB38" s="4">
        <f>Y38+AA38+Z38</f>
        <v>13570</v>
      </c>
      <c r="AC38" s="4">
        <f t="shared" si="7"/>
        <v>102</v>
      </c>
      <c r="AD38" s="24">
        <f>ROUND(AB38-V38-Z38,0)*12%</f>
        <v>1509.48</v>
      </c>
      <c r="AE38" s="4">
        <v>1</v>
      </c>
      <c r="AF38" s="4">
        <f t="shared" si="9"/>
        <v>11958</v>
      </c>
      <c r="AG38" s="55">
        <f t="shared" si="19"/>
        <v>442</v>
      </c>
      <c r="AH38" s="24">
        <f>ROUND(AB38-V38-Z38,0)*13%</f>
        <v>1635.27</v>
      </c>
      <c r="AI38" s="6">
        <v>2</v>
      </c>
      <c r="AJ38" s="4">
        <f t="shared" si="11"/>
        <v>124</v>
      </c>
      <c r="AK38" s="6"/>
      <c r="AL38" s="6"/>
      <c r="AM38" s="24">
        <f t="shared" si="12"/>
        <v>2203.27</v>
      </c>
      <c r="AN38" s="24">
        <f t="shared" si="22"/>
        <v>15773.27</v>
      </c>
      <c r="AO38" s="24">
        <f t="shared" si="23"/>
        <v>425</v>
      </c>
      <c r="AP38" s="24">
        <f t="shared" si="24"/>
        <v>16198.27</v>
      </c>
      <c r="AQ38" s="24">
        <f t="shared" si="25"/>
        <v>2916</v>
      </c>
      <c r="AR38" s="24">
        <f t="shared" si="26"/>
        <v>19114.27</v>
      </c>
      <c r="AS38"/>
      <c r="AT38" s="16"/>
      <c r="AU38" s="16"/>
    </row>
    <row r="39" spans="1:53">
      <c r="A39" s="6">
        <v>34</v>
      </c>
      <c r="B39" s="7">
        <v>3562029977</v>
      </c>
      <c r="C39" s="6">
        <v>6597</v>
      </c>
      <c r="D39" s="4" t="s">
        <v>259</v>
      </c>
      <c r="E39" s="4" t="s">
        <v>221</v>
      </c>
      <c r="F39" s="5">
        <v>43664</v>
      </c>
      <c r="G39" s="5" t="s">
        <v>256</v>
      </c>
      <c r="H39" s="5" t="s">
        <v>191</v>
      </c>
      <c r="I39" s="6" t="s">
        <v>260</v>
      </c>
      <c r="J39" s="6" t="s">
        <v>261</v>
      </c>
      <c r="K39" s="6">
        <v>24</v>
      </c>
      <c r="L39" s="6">
        <v>17</v>
      </c>
      <c r="M39" s="6">
        <v>0</v>
      </c>
      <c r="N39" s="6">
        <v>0</v>
      </c>
      <c r="O39" s="6">
        <f t="shared" si="18"/>
        <v>17</v>
      </c>
      <c r="P39" s="6">
        <v>16792</v>
      </c>
      <c r="Q39" s="6">
        <v>0</v>
      </c>
      <c r="R39" s="6">
        <v>0</v>
      </c>
      <c r="S39" s="6">
        <v>0</v>
      </c>
      <c r="T39" s="6">
        <f t="shared" ref="T39:T41" si="36">ROUND(SUM(P39:S39),0)</f>
        <v>16792</v>
      </c>
      <c r="U39" s="6">
        <f t="shared" si="32"/>
        <v>11894</v>
      </c>
      <c r="V39" s="6">
        <f t="shared" si="32"/>
        <v>0</v>
      </c>
      <c r="W39" s="6">
        <f t="shared" si="32"/>
        <v>0</v>
      </c>
      <c r="X39" s="6">
        <f t="shared" si="32"/>
        <v>0</v>
      </c>
      <c r="Y39" s="6">
        <f t="shared" ref="Y39" si="37">ROUND(SUM(U39:X39),0)</f>
        <v>11894</v>
      </c>
      <c r="Z39" s="6">
        <f>ROUND(U39*8.33/100,0)</f>
        <v>991</v>
      </c>
      <c r="AA39" s="6">
        <f t="shared" ref="AA39" si="38">ROUND(Y39*5.76%,0)</f>
        <v>685</v>
      </c>
      <c r="AB39" s="4">
        <f t="shared" ref="AB39:AB41" si="39">Y39+AA39+Z39</f>
        <v>13570</v>
      </c>
      <c r="AC39" s="4">
        <f t="shared" si="7"/>
        <v>102</v>
      </c>
      <c r="AD39" s="24">
        <f t="shared" ref="AD39" si="40">ROUND(AB39-V39-Z39,0)*12%</f>
        <v>1509.48</v>
      </c>
      <c r="AE39" s="4">
        <v>1</v>
      </c>
      <c r="AF39" s="4">
        <f t="shared" si="9"/>
        <v>11958</v>
      </c>
      <c r="AG39" s="55">
        <f t="shared" si="19"/>
        <v>442</v>
      </c>
      <c r="AH39" s="24">
        <f t="shared" ref="AH39" si="41">ROUND(AB39-V39-Z39,0)*13%</f>
        <v>1635.27</v>
      </c>
      <c r="AI39" s="6">
        <v>2</v>
      </c>
      <c r="AJ39" s="4">
        <f t="shared" si="11"/>
        <v>124</v>
      </c>
      <c r="AK39" s="6"/>
      <c r="AL39" s="6"/>
      <c r="AM39" s="24">
        <f t="shared" si="12"/>
        <v>2203.27</v>
      </c>
      <c r="AN39" s="24">
        <f t="shared" si="22"/>
        <v>15773.27</v>
      </c>
      <c r="AO39" s="24">
        <f t="shared" si="23"/>
        <v>425</v>
      </c>
      <c r="AP39" s="24">
        <f t="shared" si="24"/>
        <v>16198.27</v>
      </c>
      <c r="AQ39" s="24">
        <f t="shared" si="25"/>
        <v>2916</v>
      </c>
      <c r="AR39" s="24">
        <f t="shared" si="26"/>
        <v>19114.27</v>
      </c>
      <c r="AS39"/>
      <c r="AT39" s="44"/>
      <c r="AU39" s="14"/>
    </row>
    <row r="40" spans="1:53" s="57" customFormat="1">
      <c r="A40" s="6">
        <v>35</v>
      </c>
      <c r="B40" s="70">
        <v>3562058829</v>
      </c>
      <c r="C40" s="55"/>
      <c r="D40" s="68" t="s">
        <v>262</v>
      </c>
      <c r="E40" s="4" t="s">
        <v>263</v>
      </c>
      <c r="F40" s="69">
        <v>44491</v>
      </c>
      <c r="G40" s="68" t="s">
        <v>264</v>
      </c>
      <c r="H40" s="56"/>
      <c r="I40" s="6" t="s">
        <v>265</v>
      </c>
      <c r="J40" s="6" t="s">
        <v>266</v>
      </c>
      <c r="K40" s="6">
        <v>24</v>
      </c>
      <c r="L40" s="6">
        <v>24</v>
      </c>
      <c r="M40" s="6">
        <v>0</v>
      </c>
      <c r="N40" s="6">
        <v>0</v>
      </c>
      <c r="O40" s="6">
        <f t="shared" si="18"/>
        <v>24</v>
      </c>
      <c r="P40" s="6">
        <v>19291</v>
      </c>
      <c r="Q40" s="6">
        <v>6293</v>
      </c>
      <c r="R40" s="6">
        <v>0</v>
      </c>
      <c r="S40" s="6">
        <v>0</v>
      </c>
      <c r="T40" s="6">
        <f t="shared" si="36"/>
        <v>25584</v>
      </c>
      <c r="U40" s="6">
        <f t="shared" ref="U40:X41" si="42">ROUND(P40/$K40*$O40,0)</f>
        <v>19291</v>
      </c>
      <c r="V40" s="6">
        <f t="shared" si="42"/>
        <v>6293</v>
      </c>
      <c r="W40" s="6">
        <f t="shared" si="42"/>
        <v>0</v>
      </c>
      <c r="X40" s="6">
        <f t="shared" si="42"/>
        <v>0</v>
      </c>
      <c r="Y40" s="6">
        <f t="shared" ref="Y40:Y41" si="43">ROUND(SUM(U40:X40),0)</f>
        <v>25584</v>
      </c>
      <c r="Z40" s="6">
        <f>ROUND(U40*8.33/100,0)</f>
        <v>1607</v>
      </c>
      <c r="AA40" s="6">
        <f>ROUND(Y40*5.76%,0)</f>
        <v>1474</v>
      </c>
      <c r="AB40" s="4">
        <f t="shared" si="39"/>
        <v>28665</v>
      </c>
      <c r="AC40" s="4">
        <f>ROUNDUP(IF(T40&gt;21000,0,AB40*0.75%),0)</f>
        <v>0</v>
      </c>
      <c r="AD40" s="24">
        <f>ROUND(IF((AB40-V40)*12%&gt;1800,1800,(AB40-V40)*12%),0)</f>
        <v>1800</v>
      </c>
      <c r="AE40" s="4">
        <v>1</v>
      </c>
      <c r="AF40" s="4">
        <f t="shared" si="9"/>
        <v>27364</v>
      </c>
      <c r="AG40" s="55">
        <f t="shared" si="19"/>
        <v>0</v>
      </c>
      <c r="AH40" s="24">
        <f>ROUND(IF(($AB40-Z40)*12%&gt;1950,1950,(AB40-Z40)*13%),0)</f>
        <v>1950</v>
      </c>
      <c r="AI40" s="6">
        <v>2</v>
      </c>
      <c r="AJ40" s="4">
        <f t="shared" si="11"/>
        <v>175</v>
      </c>
      <c r="AK40" s="6">
        <v>500</v>
      </c>
      <c r="AL40" s="6">
        <v>215</v>
      </c>
      <c r="AM40" s="24">
        <f t="shared" si="12"/>
        <v>2842</v>
      </c>
      <c r="AN40" s="24">
        <f t="shared" si="22"/>
        <v>31507</v>
      </c>
      <c r="AO40" s="24">
        <f>ROUND(600/K40*O40,0)</f>
        <v>600</v>
      </c>
      <c r="AP40" s="24">
        <f t="shared" si="24"/>
        <v>32107</v>
      </c>
      <c r="AQ40" s="24">
        <f t="shared" si="25"/>
        <v>5779</v>
      </c>
      <c r="AR40" s="24">
        <f t="shared" si="26"/>
        <v>37886</v>
      </c>
      <c r="BA40" s="57">
        <f>AB40-V40</f>
        <v>22372</v>
      </c>
    </row>
    <row r="41" spans="1:53">
      <c r="A41" s="6">
        <v>36</v>
      </c>
      <c r="B41" s="7">
        <v>3562081808</v>
      </c>
      <c r="C41" s="6"/>
      <c r="D41" s="4" t="s">
        <v>267</v>
      </c>
      <c r="E41" s="4" t="s">
        <v>274</v>
      </c>
      <c r="F41" s="5" t="s">
        <v>268</v>
      </c>
      <c r="G41" s="5" t="s">
        <v>256</v>
      </c>
      <c r="H41" s="5" t="s">
        <v>191</v>
      </c>
      <c r="I41" s="6" t="s">
        <v>275</v>
      </c>
      <c r="J41" s="6" t="s">
        <v>276</v>
      </c>
      <c r="K41" s="6">
        <v>24</v>
      </c>
      <c r="L41" s="6">
        <v>24</v>
      </c>
      <c r="M41" s="6">
        <v>0</v>
      </c>
      <c r="N41" s="6">
        <v>0</v>
      </c>
      <c r="O41" s="6">
        <f t="shared" si="18"/>
        <v>24</v>
      </c>
      <c r="P41" s="6">
        <v>16792</v>
      </c>
      <c r="Q41" s="6">
        <v>0</v>
      </c>
      <c r="R41" s="6">
        <v>0</v>
      </c>
      <c r="S41" s="6">
        <v>0</v>
      </c>
      <c r="T41" s="6">
        <f t="shared" si="36"/>
        <v>16792</v>
      </c>
      <c r="U41" s="6">
        <f t="shared" si="42"/>
        <v>16792</v>
      </c>
      <c r="V41" s="6">
        <f t="shared" si="42"/>
        <v>0</v>
      </c>
      <c r="W41" s="6">
        <f t="shared" si="42"/>
        <v>0</v>
      </c>
      <c r="X41" s="6">
        <f t="shared" si="42"/>
        <v>0</v>
      </c>
      <c r="Y41" s="6">
        <f t="shared" si="43"/>
        <v>16792</v>
      </c>
      <c r="Z41" s="6">
        <f>ROUND(U41*8.33/100,0)</f>
        <v>1399</v>
      </c>
      <c r="AA41" s="6">
        <f>ROUND(Y41*5.76%,0)</f>
        <v>967</v>
      </c>
      <c r="AB41" s="4">
        <f t="shared" si="39"/>
        <v>19158</v>
      </c>
      <c r="AC41" s="4">
        <f>ROUNDUP(IF(T41&gt;21000,0,AB41*0.75%),0)</f>
        <v>144</v>
      </c>
      <c r="AD41" s="24">
        <f>ROUND(IF((AB41-V41)*12%&gt;1800,1800,(AB41-V41)*12%),0)</f>
        <v>1800</v>
      </c>
      <c r="AE41" s="4">
        <v>1</v>
      </c>
      <c r="AF41" s="4">
        <f t="shared" si="9"/>
        <v>17213</v>
      </c>
      <c r="AG41" s="55">
        <f t="shared" si="19"/>
        <v>623</v>
      </c>
      <c r="AH41" s="24">
        <f>ROUND(IF(($AB41-Z41)*12%&gt;1950,1950,(AB41-Z41)*13%),0)</f>
        <v>1950</v>
      </c>
      <c r="AI41" s="6">
        <v>2</v>
      </c>
      <c r="AJ41" s="4">
        <f t="shared" si="11"/>
        <v>175</v>
      </c>
      <c r="AK41" s="6"/>
      <c r="AL41" s="6"/>
      <c r="AM41" s="24">
        <f t="shared" si="12"/>
        <v>2750</v>
      </c>
      <c r="AN41" s="24">
        <f t="shared" si="22"/>
        <v>21908</v>
      </c>
      <c r="AO41" s="24">
        <f>ROUND(600/K41*O41,0)</f>
        <v>600</v>
      </c>
      <c r="AP41" s="24">
        <f t="shared" si="24"/>
        <v>22508</v>
      </c>
      <c r="AQ41" s="24">
        <f t="shared" si="25"/>
        <v>4051</v>
      </c>
      <c r="AR41" s="24">
        <f t="shared" si="26"/>
        <v>26559</v>
      </c>
      <c r="AS41"/>
      <c r="AT41" s="16"/>
      <c r="AU41" s="16"/>
    </row>
    <row r="42" spans="1:53">
      <c r="B42" s="84"/>
      <c r="E42"/>
      <c r="F42" s="49"/>
      <c r="G42" s="50"/>
      <c r="H42" s="14"/>
      <c r="K42" s="14"/>
      <c r="L42" s="14"/>
      <c r="M42" s="14"/>
      <c r="N42" s="14"/>
      <c r="O42" s="14"/>
    </row>
    <row r="43" spans="1:53">
      <c r="K43" s="47" t="s">
        <v>133</v>
      </c>
      <c r="L43" s="15">
        <f t="shared" ref="L43:AR43" si="44">SUM(L6:L42)</f>
        <v>771</v>
      </c>
      <c r="M43" s="15">
        <f t="shared" si="44"/>
        <v>0</v>
      </c>
      <c r="N43" s="15">
        <f t="shared" si="44"/>
        <v>0</v>
      </c>
      <c r="O43" s="15">
        <f t="shared" si="44"/>
        <v>771</v>
      </c>
      <c r="P43" s="15">
        <f t="shared" si="44"/>
        <v>650352</v>
      </c>
      <c r="Q43" s="15">
        <f t="shared" si="44"/>
        <v>37966.15</v>
      </c>
      <c r="R43" s="15">
        <f t="shared" si="44"/>
        <v>0</v>
      </c>
      <c r="S43" s="15">
        <f t="shared" si="44"/>
        <v>0</v>
      </c>
      <c r="T43" s="15">
        <f t="shared" si="44"/>
        <v>686335</v>
      </c>
      <c r="U43" s="15">
        <f t="shared" si="44"/>
        <v>581952</v>
      </c>
      <c r="V43" s="15">
        <f t="shared" si="44"/>
        <v>37149</v>
      </c>
      <c r="W43" s="15">
        <f t="shared" si="44"/>
        <v>0</v>
      </c>
      <c r="X43" s="15">
        <f t="shared" si="44"/>
        <v>0</v>
      </c>
      <c r="Y43" s="15">
        <f t="shared" si="44"/>
        <v>619101</v>
      </c>
      <c r="Z43" s="15">
        <f t="shared" si="44"/>
        <v>48479</v>
      </c>
      <c r="AA43" s="15">
        <f t="shared" si="44"/>
        <v>35665</v>
      </c>
      <c r="AB43" s="15">
        <f t="shared" si="44"/>
        <v>703245</v>
      </c>
      <c r="AC43" s="15">
        <f t="shared" si="44"/>
        <v>4065</v>
      </c>
      <c r="AD43" s="15">
        <f t="shared" si="44"/>
        <v>73032.479999999996</v>
      </c>
      <c r="AE43" s="15">
        <f t="shared" si="44"/>
        <v>36</v>
      </c>
      <c r="AF43" s="15">
        <f t="shared" si="44"/>
        <v>626612</v>
      </c>
      <c r="AG43" s="15">
        <f t="shared" si="44"/>
        <v>17571</v>
      </c>
      <c r="AH43" s="40">
        <f t="shared" si="44"/>
        <v>77798.86</v>
      </c>
      <c r="AI43" s="40">
        <f t="shared" si="44"/>
        <v>72</v>
      </c>
      <c r="AJ43" s="40">
        <f t="shared" si="44"/>
        <v>5622</v>
      </c>
      <c r="AK43" s="40">
        <f t="shared" si="44"/>
        <v>500</v>
      </c>
      <c r="AL43" s="40">
        <f t="shared" si="44"/>
        <v>2732</v>
      </c>
      <c r="AM43" s="40">
        <f t="shared" si="44"/>
        <v>104295.85999999999</v>
      </c>
      <c r="AN43" s="40">
        <f t="shared" si="44"/>
        <v>807540.86000000034</v>
      </c>
      <c r="AO43" s="40">
        <f t="shared" si="44"/>
        <v>19277</v>
      </c>
      <c r="AP43" s="40">
        <f t="shared" si="44"/>
        <v>826817.86000000034</v>
      </c>
      <c r="AQ43" s="40">
        <f t="shared" si="44"/>
        <v>148825</v>
      </c>
      <c r="AR43" s="40">
        <f t="shared" si="44"/>
        <v>975642.86000000045</v>
      </c>
    </row>
    <row r="45" spans="1:53">
      <c r="AP45" s="15">
        <v>851270</v>
      </c>
    </row>
    <row r="46" spans="1:53">
      <c r="AP46" s="40">
        <f>AP43-AP45</f>
        <v>-24452.139999999665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12">
    <cfRule type="duplicateValues" dxfId="19" priority="24"/>
  </conditionalFormatting>
  <conditionalFormatting sqref="B13">
    <cfRule type="duplicateValues" dxfId="18" priority="23"/>
  </conditionalFormatting>
  <conditionalFormatting sqref="D13">
    <cfRule type="duplicateValues" dxfId="17" priority="22"/>
  </conditionalFormatting>
  <conditionalFormatting sqref="B14">
    <cfRule type="duplicateValues" dxfId="16" priority="21"/>
  </conditionalFormatting>
  <conditionalFormatting sqref="B13:B14">
    <cfRule type="duplicateValues" dxfId="15" priority="20"/>
  </conditionalFormatting>
  <conditionalFormatting sqref="B15">
    <cfRule type="duplicateValues" dxfId="14" priority="19"/>
  </conditionalFormatting>
  <conditionalFormatting sqref="B16:B17">
    <cfRule type="duplicateValues" dxfId="13" priority="18"/>
  </conditionalFormatting>
  <conditionalFormatting sqref="D15:D17">
    <cfRule type="duplicateValues" dxfId="12" priority="17"/>
  </conditionalFormatting>
  <conditionalFormatting sqref="I28">
    <cfRule type="duplicateValues" dxfId="11" priority="16"/>
  </conditionalFormatting>
  <conditionalFormatting sqref="I24:I39">
    <cfRule type="duplicateValues" dxfId="10" priority="7"/>
  </conditionalFormatting>
  <conditionalFormatting sqref="J24:J39">
    <cfRule type="duplicateValues" dxfId="9" priority="6"/>
  </conditionalFormatting>
  <conditionalFormatting sqref="B22:B41">
    <cfRule type="duplicateValues" dxfId="8" priority="34"/>
  </conditionalFormatting>
  <conditionalFormatting sqref="B23:B41">
    <cfRule type="duplicateValues" dxfId="7" priority="35"/>
  </conditionalFormatting>
  <conditionalFormatting sqref="B15:B41">
    <cfRule type="duplicateValues" dxfId="6" priority="36"/>
  </conditionalFormatting>
  <conditionalFormatting sqref="B40:B41">
    <cfRule type="duplicateValues" dxfId="5" priority="37"/>
  </conditionalFormatting>
  <conditionalFormatting sqref="D40:D41">
    <cfRule type="duplicateValues" dxfId="4" priority="38"/>
  </conditionalFormatting>
  <conditionalFormatting sqref="D21:D41">
    <cfRule type="duplicateValues" dxfId="3" priority="39"/>
  </conditionalFormatting>
  <conditionalFormatting sqref="D20:D41">
    <cfRule type="duplicateValues" dxfId="2" priority="40"/>
  </conditionalFormatting>
  <conditionalFormatting sqref="D19:D41">
    <cfRule type="duplicateValues" dxfId="1" priority="41"/>
  </conditionalFormatting>
  <conditionalFormatting sqref="I40:J41">
    <cfRule type="duplicateValues" dxfId="0" priority="44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43"/>
  <sheetViews>
    <sheetView workbookViewId="0">
      <pane xSplit="4" ySplit="5" topLeftCell="E25" activePane="bottomRight" state="frozen"/>
      <selection pane="topRight"/>
      <selection pane="bottomLeft"/>
      <selection pane="bottomRight" activeCell="M40" sqref="M40"/>
    </sheetView>
  </sheetViews>
  <sheetFormatPr defaultColWidth="9.140625" defaultRowHeight="12.75"/>
  <cols>
    <col min="1" max="1" width="9.42578125" customWidth="1"/>
    <col min="2" max="2" width="14.85546875" style="16" customWidth="1"/>
    <col min="3" max="3" width="7.7109375" hidden="1" customWidth="1"/>
    <col min="4" max="4" width="18.85546875" customWidth="1"/>
    <col min="5" max="5" width="24.85546875" customWidth="1"/>
    <col min="6" max="6" width="10.42578125" hidden="1" customWidth="1"/>
    <col min="7" max="7" width="11.7109375" customWidth="1"/>
    <col min="8" max="8" width="12.7109375" hidden="1" customWidth="1"/>
    <col min="9" max="9" width="8.5703125" customWidth="1"/>
    <col min="10" max="10" width="7" customWidth="1"/>
    <col min="11" max="11" width="8.5703125" bestFit="1" customWidth="1"/>
    <col min="12" max="12" width="8.5703125" style="16" customWidth="1"/>
    <col min="13" max="13" width="9.28515625" customWidth="1"/>
    <col min="14" max="14" width="8.42578125" customWidth="1"/>
    <col min="15" max="15" width="10.85546875" customWidth="1"/>
    <col min="16" max="16" width="9.140625" style="16" customWidth="1"/>
    <col min="17" max="17" width="8.42578125" customWidth="1"/>
    <col min="18" max="18" width="8" customWidth="1"/>
    <col min="19" max="19" width="8.28515625" customWidth="1"/>
    <col min="20" max="20" width="8.42578125" customWidth="1"/>
    <col min="21" max="21" width="7.140625" customWidth="1"/>
    <col min="22" max="22" width="8.85546875" customWidth="1"/>
  </cols>
  <sheetData>
    <row r="1" spans="1:22">
      <c r="A1" s="13" t="s">
        <v>0</v>
      </c>
      <c r="B1" s="13" t="s">
        <v>1</v>
      </c>
      <c r="C1" s="15"/>
      <c r="D1" s="15"/>
      <c r="E1" s="15"/>
      <c r="F1" s="15"/>
      <c r="G1" s="17" t="s">
        <v>2</v>
      </c>
      <c r="H1" s="14">
        <v>0</v>
      </c>
    </row>
    <row r="2" spans="1:22">
      <c r="A2" s="18" t="s">
        <v>3</v>
      </c>
      <c r="B2" s="19">
        <v>44927</v>
      </c>
      <c r="C2" s="15"/>
      <c r="D2" s="15"/>
      <c r="E2" s="15"/>
      <c r="F2" s="15"/>
      <c r="G2" s="17" t="s">
        <v>4</v>
      </c>
      <c r="H2" s="14">
        <v>8</v>
      </c>
      <c r="I2">
        <v>25</v>
      </c>
    </row>
    <row r="3" spans="1:22">
      <c r="A3" s="18" t="s">
        <v>5</v>
      </c>
      <c r="B3" s="14" t="s">
        <v>6</v>
      </c>
      <c r="C3" s="15"/>
      <c r="D3" s="15"/>
      <c r="E3" s="15"/>
      <c r="F3" s="15"/>
      <c r="G3" s="17" t="s">
        <v>7</v>
      </c>
      <c r="H3" s="15" t="s">
        <v>86</v>
      </c>
    </row>
    <row r="4" spans="1:22">
      <c r="A4" s="92" t="s">
        <v>9</v>
      </c>
      <c r="B4" s="92"/>
      <c r="C4" s="92"/>
      <c r="D4" s="92"/>
      <c r="E4" s="92"/>
      <c r="F4" s="92"/>
      <c r="G4" s="92"/>
      <c r="H4" s="92"/>
      <c r="I4" s="93" t="s">
        <v>87</v>
      </c>
      <c r="J4" s="94"/>
      <c r="K4" s="94"/>
      <c r="L4" s="94"/>
      <c r="M4" s="95" t="s">
        <v>11</v>
      </c>
      <c r="N4" s="96"/>
      <c r="O4" s="28" t="s">
        <v>12</v>
      </c>
      <c r="P4" s="29" t="s">
        <v>13</v>
      </c>
      <c r="R4" s="97" t="s">
        <v>15</v>
      </c>
      <c r="S4" s="97"/>
      <c r="T4" s="97"/>
      <c r="U4" s="98" t="s">
        <v>16</v>
      </c>
      <c r="V4" s="99"/>
    </row>
    <row r="5" spans="1:22" s="26" customFormat="1" ht="89.25">
      <c r="A5" s="27" t="s">
        <v>17</v>
      </c>
      <c r="B5" s="27" t="s">
        <v>18</v>
      </c>
      <c r="C5" s="27" t="s">
        <v>19</v>
      </c>
      <c r="D5" s="27" t="s">
        <v>20</v>
      </c>
      <c r="E5" s="27" t="s">
        <v>21</v>
      </c>
      <c r="F5" s="27" t="s">
        <v>22</v>
      </c>
      <c r="G5" s="27" t="s">
        <v>23</v>
      </c>
      <c r="H5" s="27" t="s">
        <v>26</v>
      </c>
      <c r="I5" s="27" t="s">
        <v>27</v>
      </c>
      <c r="J5" s="27" t="s">
        <v>88</v>
      </c>
      <c r="K5" s="27" t="s">
        <v>89</v>
      </c>
      <c r="L5" s="27" t="s">
        <v>90</v>
      </c>
      <c r="M5" s="27" t="s">
        <v>32</v>
      </c>
      <c r="N5" s="27" t="s">
        <v>91</v>
      </c>
      <c r="O5" s="27" t="s">
        <v>92</v>
      </c>
      <c r="P5" s="27" t="s">
        <v>45</v>
      </c>
      <c r="Q5" s="27" t="s">
        <v>93</v>
      </c>
      <c r="R5" s="27" t="s">
        <v>49</v>
      </c>
      <c r="S5" s="27" t="s">
        <v>54</v>
      </c>
      <c r="T5" s="27" t="s">
        <v>94</v>
      </c>
      <c r="U5" s="27" t="s">
        <v>58</v>
      </c>
      <c r="V5" s="32" t="s">
        <v>59</v>
      </c>
    </row>
    <row r="6" spans="1:22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6"/>
      <c r="I6" s="30">
        <v>26</v>
      </c>
      <c r="J6" s="30">
        <v>0</v>
      </c>
      <c r="K6" s="30"/>
      <c r="L6" s="30">
        <f t="shared" ref="L6" si="0">J6+K6</f>
        <v>0</v>
      </c>
      <c r="M6" s="21">
        <v>16792</v>
      </c>
      <c r="N6" s="31">
        <f t="shared" ref="N6" si="1">ROUNDDOWN((M6/26/8)*2,2)</f>
        <v>161.46</v>
      </c>
      <c r="O6" s="31">
        <f t="shared" ref="O6" si="2">N6*L6</f>
        <v>0</v>
      </c>
      <c r="P6" s="31">
        <f>O6*0.75/100</f>
        <v>0</v>
      </c>
      <c r="Q6" s="33">
        <f t="shared" ref="Q6" si="3">ROUND(O6-P6,0)</f>
        <v>0</v>
      </c>
      <c r="R6" s="10">
        <f>O6*3.25/100</f>
        <v>0</v>
      </c>
      <c r="S6" s="10">
        <f t="shared" ref="S6" si="4">SUM(R6:R6)</f>
        <v>0</v>
      </c>
      <c r="T6" s="10">
        <f>S6+O6</f>
        <v>0</v>
      </c>
      <c r="U6" s="10">
        <f t="shared" ref="U6" si="5">ROUND(T6*18%,0)</f>
        <v>0</v>
      </c>
      <c r="V6" s="33">
        <f t="shared" ref="V6" si="6">T6+U6</f>
        <v>0</v>
      </c>
    </row>
    <row r="7" spans="1:22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6"/>
      <c r="I7" s="30">
        <v>26</v>
      </c>
      <c r="J7" s="30">
        <v>2.63</v>
      </c>
      <c r="K7" s="30"/>
      <c r="L7" s="30">
        <f t="shared" ref="L7:L41" si="7">J7+K7</f>
        <v>2.63</v>
      </c>
      <c r="M7" s="21">
        <v>18693</v>
      </c>
      <c r="N7" s="31">
        <f t="shared" ref="N7:N41" si="8">ROUNDDOWN((M7/26/8)*2,2)</f>
        <v>179.74</v>
      </c>
      <c r="O7" s="31">
        <f t="shared" ref="O7:O41" si="9">N7*L7</f>
        <v>472.71620000000001</v>
      </c>
      <c r="P7" s="31">
        <f t="shared" ref="P7:P41" si="10">O7*0.75/100</f>
        <v>3.5453714999999999</v>
      </c>
      <c r="Q7" s="33">
        <f t="shared" ref="Q7:Q41" si="11">ROUND(O7-P7,0)</f>
        <v>469</v>
      </c>
      <c r="R7" s="10">
        <f t="shared" ref="R7:R41" si="12">O7*3.25/100</f>
        <v>15.3632765</v>
      </c>
      <c r="S7" s="10">
        <f t="shared" ref="S7:S41" si="13">SUM(R7:R7)</f>
        <v>15.3632765</v>
      </c>
      <c r="T7" s="10">
        <f t="shared" ref="T7:T41" si="14">S7+O7</f>
        <v>488.0794765</v>
      </c>
      <c r="U7" s="10">
        <f t="shared" ref="U7:U41" si="15">ROUND(T7*18%,0)</f>
        <v>88</v>
      </c>
      <c r="V7" s="33">
        <f t="shared" ref="V7:V41" si="16">T7+U7</f>
        <v>576.07947650000006</v>
      </c>
    </row>
    <row r="8" spans="1:22">
      <c r="A8" s="6">
        <v>3</v>
      </c>
      <c r="B8" s="37">
        <v>3562043320</v>
      </c>
      <c r="C8" s="6"/>
      <c r="D8" s="4" t="s">
        <v>124</v>
      </c>
      <c r="E8" s="4" t="s">
        <v>127</v>
      </c>
      <c r="F8" s="5" t="s">
        <v>128</v>
      </c>
      <c r="G8" s="5" t="s">
        <v>66</v>
      </c>
      <c r="H8" s="6"/>
      <c r="I8" s="30">
        <v>26</v>
      </c>
      <c r="J8" s="30">
        <v>2.1</v>
      </c>
      <c r="K8" s="30"/>
      <c r="L8" s="30">
        <f t="shared" si="7"/>
        <v>2.1</v>
      </c>
      <c r="M8" s="21">
        <v>18702</v>
      </c>
      <c r="N8" s="31">
        <f t="shared" si="8"/>
        <v>179.82</v>
      </c>
      <c r="O8" s="31">
        <f t="shared" si="9"/>
        <v>377.62200000000001</v>
      </c>
      <c r="P8" s="31">
        <f t="shared" si="10"/>
        <v>2.8321649999999998</v>
      </c>
      <c r="Q8" s="33">
        <f t="shared" si="11"/>
        <v>375</v>
      </c>
      <c r="R8" s="10">
        <f t="shared" si="12"/>
        <v>12.272715</v>
      </c>
      <c r="S8" s="10">
        <f t="shared" si="13"/>
        <v>12.272715</v>
      </c>
      <c r="T8" s="10">
        <f t="shared" si="14"/>
        <v>389.89471500000002</v>
      </c>
      <c r="U8" s="10">
        <f t="shared" si="15"/>
        <v>70</v>
      </c>
      <c r="V8" s="33">
        <f t="shared" si="16"/>
        <v>459.89471500000002</v>
      </c>
    </row>
    <row r="9" spans="1:22">
      <c r="A9" s="6">
        <v>4</v>
      </c>
      <c r="B9" s="37">
        <v>3562043319</v>
      </c>
      <c r="C9" s="6"/>
      <c r="D9" s="4" t="s">
        <v>125</v>
      </c>
      <c r="E9" s="4" t="s">
        <v>126</v>
      </c>
      <c r="F9" s="5" t="s">
        <v>128</v>
      </c>
      <c r="G9" s="5" t="s">
        <v>66</v>
      </c>
      <c r="H9" s="6"/>
      <c r="I9" s="30">
        <v>26</v>
      </c>
      <c r="J9" s="30">
        <v>0.52</v>
      </c>
      <c r="K9" s="30"/>
      <c r="L9" s="30">
        <f t="shared" si="7"/>
        <v>0.52</v>
      </c>
      <c r="M9" s="21">
        <v>18693</v>
      </c>
      <c r="N9" s="31">
        <f t="shared" si="8"/>
        <v>179.74</v>
      </c>
      <c r="O9" s="31">
        <f t="shared" si="9"/>
        <v>93.464800000000011</v>
      </c>
      <c r="P9" s="31">
        <f t="shared" si="10"/>
        <v>0.700986</v>
      </c>
      <c r="Q9" s="33">
        <f t="shared" si="11"/>
        <v>93</v>
      </c>
      <c r="R9" s="10">
        <f t="shared" si="12"/>
        <v>3.0376060000000003</v>
      </c>
      <c r="S9" s="10">
        <f t="shared" si="13"/>
        <v>3.0376060000000003</v>
      </c>
      <c r="T9" s="10">
        <f t="shared" si="14"/>
        <v>96.502406000000008</v>
      </c>
      <c r="U9" s="10">
        <f t="shared" si="15"/>
        <v>17</v>
      </c>
      <c r="V9" s="33">
        <f t="shared" si="16"/>
        <v>113.50240600000001</v>
      </c>
    </row>
    <row r="10" spans="1:22">
      <c r="A10" s="6">
        <v>5</v>
      </c>
      <c r="B10" s="37">
        <v>3562043515</v>
      </c>
      <c r="C10" s="6"/>
      <c r="D10" s="4" t="s">
        <v>131</v>
      </c>
      <c r="E10" s="4" t="s">
        <v>134</v>
      </c>
      <c r="F10" s="5">
        <v>44188</v>
      </c>
      <c r="G10" s="5" t="s">
        <v>129</v>
      </c>
      <c r="H10" s="6"/>
      <c r="I10" s="30">
        <v>26</v>
      </c>
      <c r="J10" s="30">
        <v>3.23</v>
      </c>
      <c r="K10" s="30"/>
      <c r="L10" s="30">
        <f t="shared" si="7"/>
        <v>3.23</v>
      </c>
      <c r="M10" s="21">
        <v>16792</v>
      </c>
      <c r="N10" s="31">
        <f t="shared" si="8"/>
        <v>161.46</v>
      </c>
      <c r="O10" s="31">
        <f t="shared" si="9"/>
        <v>521.51580000000001</v>
      </c>
      <c r="P10" s="31">
        <f t="shared" si="10"/>
        <v>3.9113685</v>
      </c>
      <c r="Q10" s="33">
        <f t="shared" si="11"/>
        <v>518</v>
      </c>
      <c r="R10" s="10">
        <f t="shared" si="12"/>
        <v>16.949263500000001</v>
      </c>
      <c r="S10" s="10">
        <f t="shared" si="13"/>
        <v>16.949263500000001</v>
      </c>
      <c r="T10" s="10">
        <f t="shared" si="14"/>
        <v>538.46506350000004</v>
      </c>
      <c r="U10" s="10">
        <f t="shared" si="15"/>
        <v>97</v>
      </c>
      <c r="V10" s="33">
        <f t="shared" si="16"/>
        <v>635.46506350000004</v>
      </c>
    </row>
    <row r="11" spans="1:22">
      <c r="A11" s="6">
        <v>6</v>
      </c>
      <c r="B11" s="37">
        <v>3562044036</v>
      </c>
      <c r="C11" s="6"/>
      <c r="D11" s="4" t="s">
        <v>130</v>
      </c>
      <c r="E11" s="4" t="s">
        <v>138</v>
      </c>
      <c r="F11" s="38">
        <v>44193</v>
      </c>
      <c r="G11" s="5" t="s">
        <v>66</v>
      </c>
      <c r="H11" s="6"/>
      <c r="I11" s="30">
        <v>26</v>
      </c>
      <c r="J11" s="30">
        <v>0.56999999999999995</v>
      </c>
      <c r="K11" s="30"/>
      <c r="L11" s="30">
        <f t="shared" si="7"/>
        <v>0.56999999999999995</v>
      </c>
      <c r="M11" s="21">
        <v>19070</v>
      </c>
      <c r="N11" s="31">
        <f t="shared" si="8"/>
        <v>183.36</v>
      </c>
      <c r="O11" s="31">
        <f t="shared" si="9"/>
        <v>104.51519999999999</v>
      </c>
      <c r="P11" s="31">
        <f t="shared" si="10"/>
        <v>0.78386399999999989</v>
      </c>
      <c r="Q11" s="33">
        <f t="shared" si="11"/>
        <v>104</v>
      </c>
      <c r="R11" s="10">
        <f t="shared" si="12"/>
        <v>3.396744</v>
      </c>
      <c r="S11" s="10">
        <f t="shared" si="13"/>
        <v>3.396744</v>
      </c>
      <c r="T11" s="10">
        <f t="shared" si="14"/>
        <v>107.91194399999999</v>
      </c>
      <c r="U11" s="10">
        <f t="shared" si="15"/>
        <v>19</v>
      </c>
      <c r="V11" s="33">
        <f t="shared" si="16"/>
        <v>126.91194399999999</v>
      </c>
    </row>
    <row r="12" spans="1:22">
      <c r="A12" s="6">
        <v>7</v>
      </c>
      <c r="B12" s="37">
        <v>3562044037</v>
      </c>
      <c r="C12" s="6"/>
      <c r="D12" s="4" t="s">
        <v>155</v>
      </c>
      <c r="E12" s="4" t="s">
        <v>139</v>
      </c>
      <c r="F12" s="39">
        <v>44188</v>
      </c>
      <c r="G12" s="5" t="s">
        <v>132</v>
      </c>
      <c r="H12" s="6"/>
      <c r="I12" s="30">
        <v>26</v>
      </c>
      <c r="J12" s="30">
        <v>0</v>
      </c>
      <c r="K12" s="30"/>
      <c r="L12" s="30">
        <f t="shared" si="7"/>
        <v>0</v>
      </c>
      <c r="M12" s="21">
        <v>19070</v>
      </c>
      <c r="N12" s="31">
        <f t="shared" si="8"/>
        <v>183.36</v>
      </c>
      <c r="O12" s="31">
        <f t="shared" si="9"/>
        <v>0</v>
      </c>
      <c r="P12" s="31">
        <f t="shared" si="10"/>
        <v>0</v>
      </c>
      <c r="Q12" s="33">
        <f t="shared" si="11"/>
        <v>0</v>
      </c>
      <c r="R12" s="10">
        <f t="shared" si="12"/>
        <v>0</v>
      </c>
      <c r="S12" s="10">
        <f t="shared" si="13"/>
        <v>0</v>
      </c>
      <c r="T12" s="10">
        <f t="shared" si="14"/>
        <v>0</v>
      </c>
      <c r="U12" s="10">
        <f t="shared" si="15"/>
        <v>0</v>
      </c>
      <c r="V12" s="33">
        <f t="shared" si="16"/>
        <v>0</v>
      </c>
    </row>
    <row r="13" spans="1:22">
      <c r="A13" s="6">
        <v>8</v>
      </c>
      <c r="B13" s="37">
        <v>3562044118</v>
      </c>
      <c r="C13" s="6"/>
      <c r="D13" s="4" t="s">
        <v>141</v>
      </c>
      <c r="E13" s="4" t="s">
        <v>143</v>
      </c>
      <c r="F13" s="39">
        <v>44207</v>
      </c>
      <c r="G13" s="5" t="s">
        <v>66</v>
      </c>
      <c r="H13" s="6"/>
      <c r="I13" s="30">
        <v>26</v>
      </c>
      <c r="J13" s="30">
        <v>0.56999999999999995</v>
      </c>
      <c r="K13" s="30"/>
      <c r="L13" s="30">
        <f t="shared" si="7"/>
        <v>0.56999999999999995</v>
      </c>
      <c r="M13" s="21">
        <v>19070</v>
      </c>
      <c r="N13" s="31">
        <f t="shared" si="8"/>
        <v>183.36</v>
      </c>
      <c r="O13" s="31">
        <f t="shared" si="9"/>
        <v>104.51519999999999</v>
      </c>
      <c r="P13" s="31">
        <v>0</v>
      </c>
      <c r="Q13" s="33">
        <f t="shared" si="11"/>
        <v>105</v>
      </c>
      <c r="R13" s="10">
        <v>0</v>
      </c>
      <c r="S13" s="10">
        <f t="shared" si="13"/>
        <v>0</v>
      </c>
      <c r="T13" s="10">
        <f t="shared" si="14"/>
        <v>104.51519999999999</v>
      </c>
      <c r="U13" s="10">
        <f t="shared" si="15"/>
        <v>19</v>
      </c>
      <c r="V13" s="33">
        <f t="shared" si="16"/>
        <v>123.51519999999999</v>
      </c>
    </row>
    <row r="14" spans="1:22">
      <c r="A14" s="6">
        <v>9</v>
      </c>
      <c r="B14" s="37">
        <v>3562044119</v>
      </c>
      <c r="C14" s="6"/>
      <c r="D14" s="4" t="s">
        <v>142</v>
      </c>
      <c r="E14" s="4" t="s">
        <v>144</v>
      </c>
      <c r="F14" s="39">
        <v>44207</v>
      </c>
      <c r="G14" s="5" t="s">
        <v>66</v>
      </c>
      <c r="H14" s="6"/>
      <c r="I14" s="30">
        <v>26</v>
      </c>
      <c r="J14" s="30">
        <v>27.03</v>
      </c>
      <c r="K14" s="30"/>
      <c r="L14" s="30">
        <f t="shared" si="7"/>
        <v>27.03</v>
      </c>
      <c r="M14" s="21">
        <v>19070</v>
      </c>
      <c r="N14" s="31">
        <f t="shared" si="8"/>
        <v>183.36</v>
      </c>
      <c r="O14" s="31">
        <f t="shared" si="9"/>
        <v>4956.220800000001</v>
      </c>
      <c r="P14" s="31">
        <v>0</v>
      </c>
      <c r="Q14" s="33">
        <f t="shared" si="11"/>
        <v>4956</v>
      </c>
      <c r="R14" s="10">
        <v>0</v>
      </c>
      <c r="S14" s="10">
        <f t="shared" si="13"/>
        <v>0</v>
      </c>
      <c r="T14" s="10">
        <f t="shared" si="14"/>
        <v>4956.220800000001</v>
      </c>
      <c r="U14" s="10">
        <f t="shared" si="15"/>
        <v>892</v>
      </c>
      <c r="V14" s="33">
        <f t="shared" si="16"/>
        <v>5848.220800000001</v>
      </c>
    </row>
    <row r="15" spans="1:22">
      <c r="A15" s="6">
        <v>10</v>
      </c>
      <c r="B15" s="37">
        <v>3562056132</v>
      </c>
      <c r="C15" s="6"/>
      <c r="D15" s="4" t="s">
        <v>176</v>
      </c>
      <c r="E15" s="4" t="s">
        <v>158</v>
      </c>
      <c r="F15" s="39">
        <v>44378</v>
      </c>
      <c r="G15" s="5" t="s">
        <v>66</v>
      </c>
      <c r="H15" s="6"/>
      <c r="I15" s="30">
        <v>26</v>
      </c>
      <c r="J15" s="30">
        <v>3.42</v>
      </c>
      <c r="K15" s="30"/>
      <c r="L15" s="30">
        <f t="shared" si="7"/>
        <v>3.42</v>
      </c>
      <c r="M15" s="21">
        <v>18499</v>
      </c>
      <c r="N15" s="31">
        <f t="shared" si="8"/>
        <v>177.87</v>
      </c>
      <c r="O15" s="31">
        <f t="shared" si="9"/>
        <v>608.31539999999995</v>
      </c>
      <c r="P15" s="31">
        <f t="shared" si="10"/>
        <v>4.5623654999999994</v>
      </c>
      <c r="Q15" s="33">
        <f t="shared" si="11"/>
        <v>604</v>
      </c>
      <c r="R15" s="10">
        <f t="shared" si="12"/>
        <v>19.770250499999996</v>
      </c>
      <c r="S15" s="10">
        <f t="shared" si="13"/>
        <v>19.770250499999996</v>
      </c>
      <c r="T15" s="10">
        <f t="shared" si="14"/>
        <v>628.08565049999993</v>
      </c>
      <c r="U15" s="10">
        <f t="shared" si="15"/>
        <v>113</v>
      </c>
      <c r="V15" s="33">
        <f t="shared" si="16"/>
        <v>741.08565049999993</v>
      </c>
    </row>
    <row r="16" spans="1:22">
      <c r="A16" s="6">
        <v>11</v>
      </c>
      <c r="B16" s="37">
        <v>3562056137</v>
      </c>
      <c r="C16" s="6"/>
      <c r="D16" s="4" t="s">
        <v>156</v>
      </c>
      <c r="E16" s="4" t="s">
        <v>157</v>
      </c>
      <c r="F16" s="39">
        <v>44378</v>
      </c>
      <c r="G16" s="5" t="s">
        <v>129</v>
      </c>
      <c r="H16" s="6"/>
      <c r="I16" s="30">
        <v>26</v>
      </c>
      <c r="J16" s="30">
        <v>0</v>
      </c>
      <c r="K16" s="30"/>
      <c r="L16" s="30">
        <f t="shared" si="7"/>
        <v>0</v>
      </c>
      <c r="M16" s="21">
        <v>16792</v>
      </c>
      <c r="N16" s="31">
        <f t="shared" si="8"/>
        <v>161.46</v>
      </c>
      <c r="O16" s="31">
        <f t="shared" si="9"/>
        <v>0</v>
      </c>
      <c r="P16" s="31">
        <f t="shared" si="10"/>
        <v>0</v>
      </c>
      <c r="Q16" s="33">
        <f t="shared" si="11"/>
        <v>0</v>
      </c>
      <c r="R16" s="10">
        <f t="shared" si="12"/>
        <v>0</v>
      </c>
      <c r="S16" s="10">
        <f t="shared" si="13"/>
        <v>0</v>
      </c>
      <c r="T16" s="10">
        <f t="shared" si="14"/>
        <v>0</v>
      </c>
      <c r="U16" s="10">
        <f t="shared" si="15"/>
        <v>0</v>
      </c>
      <c r="V16" s="33">
        <f t="shared" si="16"/>
        <v>0</v>
      </c>
    </row>
    <row r="17" spans="1:22">
      <c r="A17" s="6">
        <v>12</v>
      </c>
      <c r="B17" s="37">
        <v>3562028794</v>
      </c>
      <c r="C17" s="6"/>
      <c r="D17" s="4" t="s">
        <v>180</v>
      </c>
      <c r="E17" s="4" t="s">
        <v>179</v>
      </c>
      <c r="F17" s="39">
        <v>43693</v>
      </c>
      <c r="G17" s="5" t="s">
        <v>66</v>
      </c>
      <c r="H17" s="6"/>
      <c r="I17" s="30">
        <v>26</v>
      </c>
      <c r="J17" s="30">
        <v>10.53</v>
      </c>
      <c r="K17" s="30"/>
      <c r="L17" s="30">
        <f t="shared" si="7"/>
        <v>10.53</v>
      </c>
      <c r="M17" s="21">
        <v>18499</v>
      </c>
      <c r="N17" s="31">
        <f t="shared" si="8"/>
        <v>177.87</v>
      </c>
      <c r="O17" s="31">
        <f t="shared" si="9"/>
        <v>1872.9711</v>
      </c>
      <c r="P17" s="31">
        <f t="shared" si="10"/>
        <v>14.04728325</v>
      </c>
      <c r="Q17" s="33">
        <f t="shared" si="11"/>
        <v>1859</v>
      </c>
      <c r="R17" s="10">
        <f t="shared" si="12"/>
        <v>60.87156075</v>
      </c>
      <c r="S17" s="10">
        <f t="shared" si="13"/>
        <v>60.87156075</v>
      </c>
      <c r="T17" s="10">
        <f t="shared" si="14"/>
        <v>1933.8426607500001</v>
      </c>
      <c r="U17" s="10">
        <f t="shared" si="15"/>
        <v>348</v>
      </c>
      <c r="V17" s="33">
        <f t="shared" si="16"/>
        <v>2281.8426607500001</v>
      </c>
    </row>
    <row r="18" spans="1:22">
      <c r="A18" s="6">
        <v>13</v>
      </c>
      <c r="B18" s="37">
        <v>3562044038</v>
      </c>
      <c r="C18" s="6"/>
      <c r="D18" s="4" t="s">
        <v>181</v>
      </c>
      <c r="E18" s="4" t="s">
        <v>182</v>
      </c>
      <c r="F18" s="39">
        <v>44194</v>
      </c>
      <c r="G18" s="5" t="s">
        <v>66</v>
      </c>
      <c r="H18" s="6"/>
      <c r="I18" s="30">
        <v>26</v>
      </c>
      <c r="J18" s="30">
        <v>0</v>
      </c>
      <c r="K18" s="30"/>
      <c r="L18" s="30">
        <f t="shared" si="7"/>
        <v>0</v>
      </c>
      <c r="M18" s="21">
        <v>19070</v>
      </c>
      <c r="N18" s="31">
        <f t="shared" si="8"/>
        <v>183.36</v>
      </c>
      <c r="O18" s="31">
        <f t="shared" si="9"/>
        <v>0</v>
      </c>
      <c r="P18" s="31">
        <f t="shared" si="10"/>
        <v>0</v>
      </c>
      <c r="Q18" s="33">
        <f t="shared" si="11"/>
        <v>0</v>
      </c>
      <c r="R18" s="10">
        <f t="shared" si="12"/>
        <v>0</v>
      </c>
      <c r="S18" s="10">
        <f t="shared" si="13"/>
        <v>0</v>
      </c>
      <c r="T18" s="10">
        <f t="shared" si="14"/>
        <v>0</v>
      </c>
      <c r="U18" s="10">
        <f t="shared" si="15"/>
        <v>0</v>
      </c>
      <c r="V18" s="33">
        <f t="shared" si="16"/>
        <v>0</v>
      </c>
    </row>
    <row r="19" spans="1:22">
      <c r="A19" s="6">
        <v>14</v>
      </c>
      <c r="B19" s="37">
        <v>3562059681</v>
      </c>
      <c r="C19" s="6"/>
      <c r="D19" s="4" t="s">
        <v>168</v>
      </c>
      <c r="E19" s="4" t="s">
        <v>170</v>
      </c>
      <c r="F19" s="39">
        <v>44434</v>
      </c>
      <c r="G19" s="5" t="s">
        <v>66</v>
      </c>
      <c r="H19" s="6"/>
      <c r="I19" s="30">
        <v>26</v>
      </c>
      <c r="J19" s="30">
        <v>5.28</v>
      </c>
      <c r="K19" s="30"/>
      <c r="L19" s="30">
        <f t="shared" si="7"/>
        <v>5.28</v>
      </c>
      <c r="M19" s="21">
        <v>18499</v>
      </c>
      <c r="N19" s="31">
        <f t="shared" si="8"/>
        <v>177.87</v>
      </c>
      <c r="O19" s="31">
        <f t="shared" si="9"/>
        <v>939.1536000000001</v>
      </c>
      <c r="P19" s="31">
        <f t="shared" si="10"/>
        <v>7.0436520000000007</v>
      </c>
      <c r="Q19" s="33">
        <f t="shared" si="11"/>
        <v>932</v>
      </c>
      <c r="R19" s="10">
        <f t="shared" si="12"/>
        <v>30.522492000000003</v>
      </c>
      <c r="S19" s="10">
        <f t="shared" si="13"/>
        <v>30.522492000000003</v>
      </c>
      <c r="T19" s="10">
        <f t="shared" si="14"/>
        <v>969.67609200000015</v>
      </c>
      <c r="U19" s="10">
        <f t="shared" si="15"/>
        <v>175</v>
      </c>
      <c r="V19" s="33">
        <f t="shared" si="16"/>
        <v>1144.6760920000002</v>
      </c>
    </row>
    <row r="20" spans="1:22">
      <c r="A20" s="6">
        <v>15</v>
      </c>
      <c r="B20" s="37">
        <v>3562060691</v>
      </c>
      <c r="C20" s="6"/>
      <c r="D20" s="4" t="s">
        <v>169</v>
      </c>
      <c r="E20" s="4" t="s">
        <v>172</v>
      </c>
      <c r="F20" s="39">
        <v>44446</v>
      </c>
      <c r="G20" s="5" t="s">
        <v>66</v>
      </c>
      <c r="H20" s="6"/>
      <c r="I20" s="30">
        <v>26</v>
      </c>
      <c r="J20" s="30">
        <v>3.08</v>
      </c>
      <c r="K20" s="30"/>
      <c r="L20" s="30">
        <f t="shared" si="7"/>
        <v>3.08</v>
      </c>
      <c r="M20" s="21">
        <v>18499</v>
      </c>
      <c r="N20" s="31">
        <f t="shared" si="8"/>
        <v>177.87</v>
      </c>
      <c r="O20" s="31">
        <f t="shared" si="9"/>
        <v>547.83960000000002</v>
      </c>
      <c r="P20" s="31">
        <f t="shared" si="10"/>
        <v>4.108797</v>
      </c>
      <c r="Q20" s="33">
        <f t="shared" si="11"/>
        <v>544</v>
      </c>
      <c r="R20" s="10">
        <f t="shared" si="12"/>
        <v>17.804787000000001</v>
      </c>
      <c r="S20" s="10">
        <f t="shared" si="13"/>
        <v>17.804787000000001</v>
      </c>
      <c r="T20" s="10">
        <f t="shared" si="14"/>
        <v>565.64438700000005</v>
      </c>
      <c r="U20" s="10">
        <f t="shared" si="15"/>
        <v>102</v>
      </c>
      <c r="V20" s="33">
        <f t="shared" si="16"/>
        <v>667.64438700000005</v>
      </c>
    </row>
    <row r="21" spans="1:22">
      <c r="A21" s="6">
        <v>16</v>
      </c>
      <c r="B21" s="37">
        <v>3562061964</v>
      </c>
      <c r="C21" s="6"/>
      <c r="D21" s="4" t="s">
        <v>185</v>
      </c>
      <c r="E21" s="4" t="s">
        <v>186</v>
      </c>
      <c r="F21" s="39">
        <v>44557</v>
      </c>
      <c r="G21" s="5" t="s">
        <v>184</v>
      </c>
      <c r="H21" s="6"/>
      <c r="I21" s="30">
        <v>26</v>
      </c>
      <c r="J21" s="30">
        <v>3.98</v>
      </c>
      <c r="K21" s="30"/>
      <c r="L21" s="30">
        <f t="shared" si="7"/>
        <v>3.98</v>
      </c>
      <c r="M21" s="21">
        <v>19473</v>
      </c>
      <c r="N21" s="31">
        <f t="shared" si="8"/>
        <v>187.24</v>
      </c>
      <c r="O21" s="31">
        <f t="shared" si="9"/>
        <v>745.21519999999998</v>
      </c>
      <c r="P21" s="31">
        <v>0</v>
      </c>
      <c r="Q21" s="33">
        <f t="shared" si="11"/>
        <v>745</v>
      </c>
      <c r="R21" s="10">
        <v>0</v>
      </c>
      <c r="S21" s="10">
        <f t="shared" si="13"/>
        <v>0</v>
      </c>
      <c r="T21" s="10">
        <f t="shared" si="14"/>
        <v>745.21519999999998</v>
      </c>
      <c r="U21" s="10">
        <f t="shared" si="15"/>
        <v>134</v>
      </c>
      <c r="V21" s="33">
        <f t="shared" si="16"/>
        <v>879.21519999999998</v>
      </c>
    </row>
    <row r="22" spans="1:22">
      <c r="A22" s="6">
        <v>17</v>
      </c>
      <c r="B22" s="37">
        <v>3562033964</v>
      </c>
      <c r="C22" s="6"/>
      <c r="D22" s="4" t="s">
        <v>189</v>
      </c>
      <c r="E22" s="4" t="s">
        <v>190</v>
      </c>
      <c r="F22" s="39">
        <v>43876</v>
      </c>
      <c r="G22" s="5" t="s">
        <v>70</v>
      </c>
      <c r="H22" s="6"/>
      <c r="I22" s="30">
        <v>26</v>
      </c>
      <c r="J22" s="30">
        <v>0</v>
      </c>
      <c r="K22" s="30"/>
      <c r="L22" s="30">
        <f t="shared" si="7"/>
        <v>0</v>
      </c>
      <c r="M22" s="21">
        <v>16792</v>
      </c>
      <c r="N22" s="31">
        <f t="shared" si="8"/>
        <v>161.46</v>
      </c>
      <c r="O22" s="31">
        <f t="shared" si="9"/>
        <v>0</v>
      </c>
      <c r="P22" s="31">
        <f t="shared" si="10"/>
        <v>0</v>
      </c>
      <c r="Q22" s="33">
        <f t="shared" si="11"/>
        <v>0</v>
      </c>
      <c r="R22" s="10">
        <f t="shared" si="12"/>
        <v>0</v>
      </c>
      <c r="S22" s="10">
        <f t="shared" si="13"/>
        <v>0</v>
      </c>
      <c r="T22" s="10">
        <f t="shared" si="14"/>
        <v>0</v>
      </c>
      <c r="U22" s="10">
        <f t="shared" si="15"/>
        <v>0</v>
      </c>
      <c r="V22" s="33">
        <f t="shared" si="16"/>
        <v>0</v>
      </c>
    </row>
    <row r="23" spans="1:22">
      <c r="A23" s="6">
        <v>18</v>
      </c>
      <c r="B23" s="7">
        <v>3562018295</v>
      </c>
      <c r="C23" s="4">
        <v>5021</v>
      </c>
      <c r="D23" s="4" t="s">
        <v>193</v>
      </c>
      <c r="E23" s="4" t="s">
        <v>194</v>
      </c>
      <c r="F23" s="5">
        <v>43453</v>
      </c>
      <c r="G23" s="5" t="s">
        <v>70</v>
      </c>
      <c r="H23" s="6"/>
      <c r="I23" s="30">
        <v>26</v>
      </c>
      <c r="J23" s="30">
        <v>7.77</v>
      </c>
      <c r="K23" s="30"/>
      <c r="L23" s="30">
        <f t="shared" si="7"/>
        <v>7.77</v>
      </c>
      <c r="M23" s="21">
        <v>16792</v>
      </c>
      <c r="N23" s="31">
        <f t="shared" si="8"/>
        <v>161.46</v>
      </c>
      <c r="O23" s="31">
        <f t="shared" si="9"/>
        <v>1254.5442</v>
      </c>
      <c r="P23" s="31">
        <f t="shared" si="10"/>
        <v>9.4090814999999992</v>
      </c>
      <c r="Q23" s="33">
        <f t="shared" si="11"/>
        <v>1245</v>
      </c>
      <c r="R23" s="10">
        <f t="shared" si="12"/>
        <v>40.772686499999999</v>
      </c>
      <c r="S23" s="10">
        <f t="shared" si="13"/>
        <v>40.772686499999999</v>
      </c>
      <c r="T23" s="10">
        <f t="shared" si="14"/>
        <v>1295.3168865</v>
      </c>
      <c r="U23" s="10">
        <f t="shared" si="15"/>
        <v>233</v>
      </c>
      <c r="V23" s="33">
        <f t="shared" si="16"/>
        <v>1528.3168865</v>
      </c>
    </row>
    <row r="24" spans="1:22">
      <c r="A24" s="6">
        <v>19</v>
      </c>
      <c r="B24" s="7">
        <v>3562076430</v>
      </c>
      <c r="C24" s="4"/>
      <c r="D24" s="4" t="s">
        <v>196</v>
      </c>
      <c r="E24" s="4" t="s">
        <v>273</v>
      </c>
      <c r="F24" s="5" t="s">
        <v>197</v>
      </c>
      <c r="G24" s="5" t="s">
        <v>66</v>
      </c>
      <c r="H24" s="6"/>
      <c r="I24" s="30">
        <v>26</v>
      </c>
      <c r="J24" s="30">
        <v>1.48</v>
      </c>
      <c r="K24" s="30"/>
      <c r="L24" s="30">
        <f t="shared" si="7"/>
        <v>1.48</v>
      </c>
      <c r="M24" s="21">
        <v>18499</v>
      </c>
      <c r="N24" s="31">
        <f t="shared" si="8"/>
        <v>177.87</v>
      </c>
      <c r="O24" s="31">
        <f t="shared" si="9"/>
        <v>263.24759999999998</v>
      </c>
      <c r="P24" s="31">
        <f t="shared" si="10"/>
        <v>1.9743569999999999</v>
      </c>
      <c r="Q24" s="33">
        <f t="shared" si="11"/>
        <v>261</v>
      </c>
      <c r="R24" s="10">
        <f t="shared" si="12"/>
        <v>8.5555469999999989</v>
      </c>
      <c r="S24" s="10">
        <f t="shared" si="13"/>
        <v>8.5555469999999989</v>
      </c>
      <c r="T24" s="10">
        <f t="shared" si="14"/>
        <v>271.80314699999997</v>
      </c>
      <c r="U24" s="10">
        <f t="shared" si="15"/>
        <v>49</v>
      </c>
      <c r="V24" s="33">
        <f t="shared" si="16"/>
        <v>320.80314699999997</v>
      </c>
    </row>
    <row r="25" spans="1:22">
      <c r="A25" s="6">
        <v>20</v>
      </c>
      <c r="B25" s="7">
        <v>3562017868</v>
      </c>
      <c r="C25" s="4">
        <v>4592</v>
      </c>
      <c r="D25" s="4" t="s">
        <v>200</v>
      </c>
      <c r="E25" s="52" t="s">
        <v>201</v>
      </c>
      <c r="F25" s="53">
        <v>43369</v>
      </c>
      <c r="G25" s="5" t="s">
        <v>66</v>
      </c>
      <c r="H25" s="6"/>
      <c r="I25" s="30">
        <v>26</v>
      </c>
      <c r="J25" s="30">
        <v>7.68</v>
      </c>
      <c r="K25" s="30"/>
      <c r="L25" s="30">
        <f t="shared" si="7"/>
        <v>7.68</v>
      </c>
      <c r="M25" s="6">
        <v>18777</v>
      </c>
      <c r="N25" s="31">
        <f t="shared" si="8"/>
        <v>180.54</v>
      </c>
      <c r="O25" s="31">
        <f t="shared" si="9"/>
        <v>1386.5472</v>
      </c>
      <c r="P25" s="31">
        <f t="shared" si="10"/>
        <v>10.399103999999999</v>
      </c>
      <c r="Q25" s="33">
        <f t="shared" si="11"/>
        <v>1376</v>
      </c>
      <c r="R25" s="10">
        <f t="shared" si="12"/>
        <v>45.062784000000001</v>
      </c>
      <c r="S25" s="10">
        <f t="shared" si="13"/>
        <v>45.062784000000001</v>
      </c>
      <c r="T25" s="10">
        <f t="shared" si="14"/>
        <v>1431.6099839999999</v>
      </c>
      <c r="U25" s="10">
        <f t="shared" si="15"/>
        <v>258</v>
      </c>
      <c r="V25" s="33">
        <f t="shared" si="16"/>
        <v>1689.6099839999999</v>
      </c>
    </row>
    <row r="26" spans="1:22">
      <c r="A26" s="6">
        <v>21</v>
      </c>
      <c r="B26" s="7">
        <v>3562017869</v>
      </c>
      <c r="C26" s="4">
        <v>5024</v>
      </c>
      <c r="D26" s="4" t="s">
        <v>205</v>
      </c>
      <c r="E26" s="52" t="s">
        <v>206</v>
      </c>
      <c r="F26" s="53">
        <v>43405</v>
      </c>
      <c r="G26" s="5" t="s">
        <v>66</v>
      </c>
      <c r="H26" s="6"/>
      <c r="I26" s="30">
        <v>26</v>
      </c>
      <c r="J26" s="30">
        <v>9</v>
      </c>
      <c r="K26" s="30"/>
      <c r="L26" s="30">
        <f t="shared" si="7"/>
        <v>9</v>
      </c>
      <c r="M26" s="6">
        <v>19070</v>
      </c>
      <c r="N26" s="31">
        <f t="shared" si="8"/>
        <v>183.36</v>
      </c>
      <c r="O26" s="31">
        <f t="shared" si="9"/>
        <v>1650.2400000000002</v>
      </c>
      <c r="P26" s="31">
        <v>0</v>
      </c>
      <c r="Q26" s="33">
        <f t="shared" si="11"/>
        <v>1650</v>
      </c>
      <c r="R26" s="10">
        <v>0</v>
      </c>
      <c r="S26" s="10">
        <f t="shared" si="13"/>
        <v>0</v>
      </c>
      <c r="T26" s="10">
        <f t="shared" si="14"/>
        <v>1650.2400000000002</v>
      </c>
      <c r="U26" s="10">
        <f t="shared" si="15"/>
        <v>297</v>
      </c>
      <c r="V26" s="33">
        <f t="shared" si="16"/>
        <v>1947.2400000000002</v>
      </c>
    </row>
    <row r="27" spans="1:22">
      <c r="A27" s="6">
        <v>22</v>
      </c>
      <c r="B27" s="7">
        <v>3562021019</v>
      </c>
      <c r="C27" s="4">
        <v>6196</v>
      </c>
      <c r="D27" s="4" t="s">
        <v>209</v>
      </c>
      <c r="E27" s="52" t="s">
        <v>210</v>
      </c>
      <c r="F27" s="53">
        <v>43584</v>
      </c>
      <c r="G27" s="5" t="s">
        <v>70</v>
      </c>
      <c r="H27" s="6"/>
      <c r="I27" s="30">
        <v>26</v>
      </c>
      <c r="J27" s="30">
        <v>1.1000000000000001</v>
      </c>
      <c r="K27" s="30"/>
      <c r="L27" s="30">
        <f t="shared" si="7"/>
        <v>1.1000000000000001</v>
      </c>
      <c r="M27" s="6">
        <v>16792</v>
      </c>
      <c r="N27" s="31">
        <f t="shared" si="8"/>
        <v>161.46</v>
      </c>
      <c r="O27" s="31">
        <f t="shared" si="9"/>
        <v>177.60600000000002</v>
      </c>
      <c r="P27" s="31">
        <f t="shared" si="10"/>
        <v>1.3320450000000001</v>
      </c>
      <c r="Q27" s="33">
        <f t="shared" si="11"/>
        <v>176</v>
      </c>
      <c r="R27" s="10">
        <f t="shared" si="12"/>
        <v>5.772195</v>
      </c>
      <c r="S27" s="10">
        <f t="shared" si="13"/>
        <v>5.772195</v>
      </c>
      <c r="T27" s="10">
        <f t="shared" si="14"/>
        <v>183.37819500000003</v>
      </c>
      <c r="U27" s="10">
        <f t="shared" si="15"/>
        <v>33</v>
      </c>
      <c r="V27" s="33">
        <f t="shared" si="16"/>
        <v>216.37819500000003</v>
      </c>
    </row>
    <row r="28" spans="1:22">
      <c r="A28" s="6">
        <v>23</v>
      </c>
      <c r="B28" s="7">
        <v>3562021020</v>
      </c>
      <c r="C28" s="4">
        <v>6360</v>
      </c>
      <c r="D28" s="4" t="s">
        <v>213</v>
      </c>
      <c r="E28" s="52" t="s">
        <v>214</v>
      </c>
      <c r="F28" s="53">
        <v>43598</v>
      </c>
      <c r="G28" s="5" t="s">
        <v>70</v>
      </c>
      <c r="H28" s="6"/>
      <c r="I28" s="30">
        <v>26</v>
      </c>
      <c r="J28" s="30">
        <v>0.53</v>
      </c>
      <c r="K28" s="30"/>
      <c r="L28" s="30">
        <f t="shared" si="7"/>
        <v>0.53</v>
      </c>
      <c r="M28" s="6">
        <v>16792</v>
      </c>
      <c r="N28" s="31">
        <f t="shared" si="8"/>
        <v>161.46</v>
      </c>
      <c r="O28" s="31">
        <f t="shared" si="9"/>
        <v>85.573800000000006</v>
      </c>
      <c r="P28" s="31">
        <f t="shared" si="10"/>
        <v>0.64180350000000008</v>
      </c>
      <c r="Q28" s="33">
        <f t="shared" si="11"/>
        <v>85</v>
      </c>
      <c r="R28" s="10">
        <f t="shared" si="12"/>
        <v>2.7811485000000005</v>
      </c>
      <c r="S28" s="10">
        <f t="shared" si="13"/>
        <v>2.7811485000000005</v>
      </c>
      <c r="T28" s="10">
        <f t="shared" si="14"/>
        <v>88.354948500000006</v>
      </c>
      <c r="U28" s="10">
        <f t="shared" si="15"/>
        <v>16</v>
      </c>
      <c r="V28" s="33">
        <f t="shared" si="16"/>
        <v>104.35494850000001</v>
      </c>
    </row>
    <row r="29" spans="1:22">
      <c r="A29" s="6">
        <v>24</v>
      </c>
      <c r="B29" s="7">
        <v>3562019997</v>
      </c>
      <c r="C29" s="4">
        <v>5179</v>
      </c>
      <c r="D29" s="4" t="s">
        <v>217</v>
      </c>
      <c r="E29" s="52" t="s">
        <v>218</v>
      </c>
      <c r="F29" s="53">
        <v>43474</v>
      </c>
      <c r="G29" s="5" t="s">
        <v>70</v>
      </c>
      <c r="H29" s="6"/>
      <c r="I29" s="30">
        <v>26</v>
      </c>
      <c r="J29" s="30">
        <v>2.42</v>
      </c>
      <c r="K29" s="30"/>
      <c r="L29" s="30">
        <f t="shared" si="7"/>
        <v>2.42</v>
      </c>
      <c r="M29" s="6">
        <v>16792</v>
      </c>
      <c r="N29" s="31">
        <f t="shared" si="8"/>
        <v>161.46</v>
      </c>
      <c r="O29" s="31">
        <f t="shared" si="9"/>
        <v>390.73320000000001</v>
      </c>
      <c r="P29" s="31">
        <f t="shared" si="10"/>
        <v>2.9304989999999997</v>
      </c>
      <c r="Q29" s="33">
        <f t="shared" si="11"/>
        <v>388</v>
      </c>
      <c r="R29" s="10">
        <f t="shared" si="12"/>
        <v>12.698829</v>
      </c>
      <c r="S29" s="10">
        <f t="shared" si="13"/>
        <v>12.698829</v>
      </c>
      <c r="T29" s="10">
        <f t="shared" si="14"/>
        <v>403.432029</v>
      </c>
      <c r="U29" s="10">
        <f t="shared" si="15"/>
        <v>73</v>
      </c>
      <c r="V29" s="33">
        <f t="shared" si="16"/>
        <v>476.432029</v>
      </c>
    </row>
    <row r="30" spans="1:22">
      <c r="A30" s="6">
        <v>25</v>
      </c>
      <c r="B30" s="7">
        <v>3562027441</v>
      </c>
      <c r="C30" s="4"/>
      <c r="D30" s="61" t="s">
        <v>221</v>
      </c>
      <c r="E30" s="62" t="s">
        <v>222</v>
      </c>
      <c r="F30" s="53">
        <v>43648</v>
      </c>
      <c r="G30" s="5" t="s">
        <v>70</v>
      </c>
      <c r="H30" s="6"/>
      <c r="I30" s="30">
        <v>26</v>
      </c>
      <c r="J30" s="30">
        <v>0.67</v>
      </c>
      <c r="K30" s="30"/>
      <c r="L30" s="30">
        <f t="shared" si="7"/>
        <v>0.67</v>
      </c>
      <c r="M30" s="6">
        <v>16792</v>
      </c>
      <c r="N30" s="31">
        <f t="shared" si="8"/>
        <v>161.46</v>
      </c>
      <c r="O30" s="31">
        <f t="shared" si="9"/>
        <v>108.17820000000002</v>
      </c>
      <c r="P30" s="31">
        <f t="shared" si="10"/>
        <v>0.81133650000000013</v>
      </c>
      <c r="Q30" s="33">
        <f t="shared" si="11"/>
        <v>107</v>
      </c>
      <c r="R30" s="10">
        <f t="shared" si="12"/>
        <v>3.5157915000000006</v>
      </c>
      <c r="S30" s="10">
        <f t="shared" si="13"/>
        <v>3.5157915000000006</v>
      </c>
      <c r="T30" s="10">
        <f t="shared" si="14"/>
        <v>111.69399150000002</v>
      </c>
      <c r="U30" s="10">
        <f t="shared" si="15"/>
        <v>20</v>
      </c>
      <c r="V30" s="33">
        <f t="shared" si="16"/>
        <v>131.69399150000004</v>
      </c>
    </row>
    <row r="31" spans="1:22">
      <c r="A31" s="6">
        <v>26</v>
      </c>
      <c r="B31" s="7">
        <v>3562026906</v>
      </c>
      <c r="C31" s="4"/>
      <c r="D31" s="61" t="s">
        <v>225</v>
      </c>
      <c r="E31" s="62" t="s">
        <v>226</v>
      </c>
      <c r="F31" s="53">
        <v>43654</v>
      </c>
      <c r="G31" s="5" t="s">
        <v>70</v>
      </c>
      <c r="H31" s="6"/>
      <c r="I31" s="30">
        <v>26</v>
      </c>
      <c r="J31" s="30">
        <v>9.3000000000000007</v>
      </c>
      <c r="K31" s="30"/>
      <c r="L31" s="30">
        <f t="shared" si="7"/>
        <v>9.3000000000000007</v>
      </c>
      <c r="M31" s="6">
        <v>16792</v>
      </c>
      <c r="N31" s="31">
        <f t="shared" si="8"/>
        <v>161.46</v>
      </c>
      <c r="O31" s="31">
        <f t="shared" si="9"/>
        <v>1501.5780000000002</v>
      </c>
      <c r="P31" s="31">
        <f t="shared" si="10"/>
        <v>11.261835000000001</v>
      </c>
      <c r="Q31" s="33">
        <f t="shared" si="11"/>
        <v>1490</v>
      </c>
      <c r="R31" s="10">
        <f t="shared" si="12"/>
        <v>48.801285000000007</v>
      </c>
      <c r="S31" s="10">
        <f t="shared" si="13"/>
        <v>48.801285000000007</v>
      </c>
      <c r="T31" s="10">
        <f t="shared" si="14"/>
        <v>1550.3792850000002</v>
      </c>
      <c r="U31" s="10">
        <f t="shared" si="15"/>
        <v>279</v>
      </c>
      <c r="V31" s="33">
        <f t="shared" si="16"/>
        <v>1829.3792850000002</v>
      </c>
    </row>
    <row r="32" spans="1:22">
      <c r="A32" s="6">
        <v>27</v>
      </c>
      <c r="B32" s="7">
        <v>3562027124</v>
      </c>
      <c r="C32" s="4"/>
      <c r="D32" s="61" t="s">
        <v>229</v>
      </c>
      <c r="E32" s="62" t="s">
        <v>230</v>
      </c>
      <c r="F32" s="53">
        <v>43647</v>
      </c>
      <c r="G32" s="5" t="s">
        <v>66</v>
      </c>
      <c r="H32" s="6"/>
      <c r="I32" s="30">
        <v>26</v>
      </c>
      <c r="J32" s="30">
        <v>0</v>
      </c>
      <c r="K32" s="30"/>
      <c r="L32" s="30">
        <f t="shared" si="7"/>
        <v>0</v>
      </c>
      <c r="M32" s="6">
        <v>18702</v>
      </c>
      <c r="N32" s="31">
        <f t="shared" si="8"/>
        <v>179.82</v>
      </c>
      <c r="O32" s="31">
        <f t="shared" si="9"/>
        <v>0</v>
      </c>
      <c r="P32" s="31">
        <f t="shared" si="10"/>
        <v>0</v>
      </c>
      <c r="Q32" s="33">
        <f t="shared" si="11"/>
        <v>0</v>
      </c>
      <c r="R32" s="10">
        <f t="shared" si="12"/>
        <v>0</v>
      </c>
      <c r="S32" s="10">
        <f t="shared" si="13"/>
        <v>0</v>
      </c>
      <c r="T32" s="10">
        <f t="shared" si="14"/>
        <v>0</v>
      </c>
      <c r="U32" s="10">
        <f t="shared" si="15"/>
        <v>0</v>
      </c>
      <c r="V32" s="33">
        <f t="shared" si="16"/>
        <v>0</v>
      </c>
    </row>
    <row r="33" spans="1:22">
      <c r="A33" s="6">
        <v>28</v>
      </c>
      <c r="B33" s="7">
        <v>3562027123</v>
      </c>
      <c r="C33" s="4"/>
      <c r="D33" s="61" t="s">
        <v>233</v>
      </c>
      <c r="E33" s="62" t="s">
        <v>234</v>
      </c>
      <c r="F33" s="53">
        <v>43648</v>
      </c>
      <c r="G33" s="5" t="s">
        <v>70</v>
      </c>
      <c r="H33" s="6"/>
      <c r="I33" s="30">
        <v>26</v>
      </c>
      <c r="J33" s="30">
        <v>0</v>
      </c>
      <c r="K33" s="30"/>
      <c r="L33" s="30">
        <f t="shared" si="7"/>
        <v>0</v>
      </c>
      <c r="M33" s="6">
        <v>16792</v>
      </c>
      <c r="N33" s="31">
        <f t="shared" si="8"/>
        <v>161.46</v>
      </c>
      <c r="O33" s="31">
        <f t="shared" si="9"/>
        <v>0</v>
      </c>
      <c r="P33" s="31">
        <f t="shared" si="10"/>
        <v>0</v>
      </c>
      <c r="Q33" s="33">
        <f t="shared" si="11"/>
        <v>0</v>
      </c>
      <c r="R33" s="10">
        <f t="shared" si="12"/>
        <v>0</v>
      </c>
      <c r="S33" s="10">
        <f t="shared" si="13"/>
        <v>0</v>
      </c>
      <c r="T33" s="10">
        <f t="shared" si="14"/>
        <v>0</v>
      </c>
      <c r="U33" s="10">
        <f t="shared" si="15"/>
        <v>0</v>
      </c>
      <c r="V33" s="33">
        <f t="shared" si="16"/>
        <v>0</v>
      </c>
    </row>
    <row r="34" spans="1:22">
      <c r="A34" s="6">
        <v>29</v>
      </c>
      <c r="B34" s="7">
        <v>3562030249</v>
      </c>
      <c r="C34" s="4"/>
      <c r="D34" s="61" t="s">
        <v>237</v>
      </c>
      <c r="E34" s="62" t="s">
        <v>238</v>
      </c>
      <c r="F34" s="53">
        <v>43753</v>
      </c>
      <c r="G34" s="5" t="s">
        <v>66</v>
      </c>
      <c r="H34" s="6"/>
      <c r="I34" s="30">
        <v>26</v>
      </c>
      <c r="J34" s="30">
        <v>15.55</v>
      </c>
      <c r="K34" s="30"/>
      <c r="L34" s="30">
        <f t="shared" si="7"/>
        <v>15.55</v>
      </c>
      <c r="M34" s="6">
        <v>19070</v>
      </c>
      <c r="N34" s="31">
        <f t="shared" si="8"/>
        <v>183.36</v>
      </c>
      <c r="O34" s="31">
        <f t="shared" si="9"/>
        <v>2851.2480000000005</v>
      </c>
      <c r="P34" s="31">
        <v>0</v>
      </c>
      <c r="Q34" s="33">
        <f t="shared" si="11"/>
        <v>2851</v>
      </c>
      <c r="R34" s="10">
        <v>0</v>
      </c>
      <c r="S34" s="10">
        <f t="shared" si="13"/>
        <v>0</v>
      </c>
      <c r="T34" s="10">
        <f t="shared" si="14"/>
        <v>2851.2480000000005</v>
      </c>
      <c r="U34" s="10">
        <f t="shared" si="15"/>
        <v>513</v>
      </c>
      <c r="V34" s="33">
        <f t="shared" si="16"/>
        <v>3364.2480000000005</v>
      </c>
    </row>
    <row r="35" spans="1:22">
      <c r="A35" s="6">
        <v>30</v>
      </c>
      <c r="B35" s="7">
        <v>3562030436</v>
      </c>
      <c r="C35" s="4"/>
      <c r="D35" s="61" t="s">
        <v>241</v>
      </c>
      <c r="E35" s="62" t="s">
        <v>242</v>
      </c>
      <c r="F35" s="53">
        <v>43762</v>
      </c>
      <c r="G35" s="5" t="s">
        <v>66</v>
      </c>
      <c r="H35" s="6"/>
      <c r="I35" s="30">
        <v>26</v>
      </c>
      <c r="J35" s="30">
        <v>4.68</v>
      </c>
      <c r="K35" s="30"/>
      <c r="L35" s="30">
        <f t="shared" si="7"/>
        <v>4.68</v>
      </c>
      <c r="M35" s="6">
        <v>18939</v>
      </c>
      <c r="N35" s="31">
        <f t="shared" si="8"/>
        <v>182.1</v>
      </c>
      <c r="O35" s="31">
        <f t="shared" si="9"/>
        <v>852.22799999999995</v>
      </c>
      <c r="P35" s="31">
        <f t="shared" si="10"/>
        <v>6.3917099999999998</v>
      </c>
      <c r="Q35" s="33">
        <f t="shared" si="11"/>
        <v>846</v>
      </c>
      <c r="R35" s="10">
        <f t="shared" si="12"/>
        <v>27.697410000000001</v>
      </c>
      <c r="S35" s="10">
        <f t="shared" si="13"/>
        <v>27.697410000000001</v>
      </c>
      <c r="T35" s="10">
        <f t="shared" si="14"/>
        <v>879.92540999999994</v>
      </c>
      <c r="U35" s="10">
        <f t="shared" si="15"/>
        <v>158</v>
      </c>
      <c r="V35" s="33">
        <f t="shared" si="16"/>
        <v>1037.9254099999998</v>
      </c>
    </row>
    <row r="36" spans="1:22">
      <c r="A36" s="6">
        <v>31</v>
      </c>
      <c r="B36" s="7">
        <v>3562037113</v>
      </c>
      <c r="C36" s="64"/>
      <c r="D36" s="65" t="s">
        <v>245</v>
      </c>
      <c r="E36" s="55" t="s">
        <v>246</v>
      </c>
      <c r="F36" s="53" t="s">
        <v>247</v>
      </c>
      <c r="G36" s="65" t="s">
        <v>66</v>
      </c>
      <c r="H36" s="6"/>
      <c r="I36" s="30">
        <v>26</v>
      </c>
      <c r="J36" s="30">
        <v>8.48</v>
      </c>
      <c r="K36" s="30"/>
      <c r="L36" s="30">
        <f t="shared" si="7"/>
        <v>8.48</v>
      </c>
      <c r="M36" s="6">
        <v>18939</v>
      </c>
      <c r="N36" s="31">
        <f t="shared" si="8"/>
        <v>182.1</v>
      </c>
      <c r="O36" s="31">
        <f t="shared" si="9"/>
        <v>1544.2080000000001</v>
      </c>
      <c r="P36" s="31">
        <f t="shared" si="10"/>
        <v>11.58156</v>
      </c>
      <c r="Q36" s="33">
        <f t="shared" si="11"/>
        <v>1533</v>
      </c>
      <c r="R36" s="10">
        <f t="shared" si="12"/>
        <v>50.186760000000007</v>
      </c>
      <c r="S36" s="10">
        <f t="shared" si="13"/>
        <v>50.186760000000007</v>
      </c>
      <c r="T36" s="10">
        <f t="shared" si="14"/>
        <v>1594.3947600000001</v>
      </c>
      <c r="U36" s="10">
        <f t="shared" si="15"/>
        <v>287</v>
      </c>
      <c r="V36" s="33">
        <f t="shared" si="16"/>
        <v>1881.3947600000001</v>
      </c>
    </row>
    <row r="37" spans="1:22">
      <c r="A37" s="6">
        <v>32</v>
      </c>
      <c r="B37" s="7">
        <v>3562017867</v>
      </c>
      <c r="C37" s="64"/>
      <c r="D37" s="65" t="s">
        <v>250</v>
      </c>
      <c r="E37" s="55" t="s">
        <v>251</v>
      </c>
      <c r="F37" s="53">
        <v>44136</v>
      </c>
      <c r="G37" s="65" t="s">
        <v>66</v>
      </c>
      <c r="H37" s="6"/>
      <c r="I37" s="30">
        <v>26</v>
      </c>
      <c r="J37" s="30">
        <v>9.25</v>
      </c>
      <c r="K37" s="30"/>
      <c r="L37" s="30">
        <f t="shared" si="7"/>
        <v>9.25</v>
      </c>
      <c r="M37" s="6">
        <v>19070</v>
      </c>
      <c r="N37" s="31">
        <f t="shared" si="8"/>
        <v>183.36</v>
      </c>
      <c r="O37" s="31">
        <f t="shared" si="9"/>
        <v>1696.0800000000002</v>
      </c>
      <c r="P37" s="31">
        <f t="shared" si="10"/>
        <v>12.720600000000001</v>
      </c>
      <c r="Q37" s="33">
        <f t="shared" si="11"/>
        <v>1683</v>
      </c>
      <c r="R37" s="10">
        <f t="shared" si="12"/>
        <v>55.122600000000006</v>
      </c>
      <c r="S37" s="10">
        <f t="shared" si="13"/>
        <v>55.122600000000006</v>
      </c>
      <c r="T37" s="10">
        <f t="shared" si="14"/>
        <v>1751.2026000000001</v>
      </c>
      <c r="U37" s="10">
        <f t="shared" si="15"/>
        <v>315</v>
      </c>
      <c r="V37" s="33">
        <f t="shared" si="16"/>
        <v>2066.2026000000001</v>
      </c>
    </row>
    <row r="38" spans="1:22">
      <c r="A38" s="6">
        <v>33</v>
      </c>
      <c r="B38" s="7">
        <v>3562029973</v>
      </c>
      <c r="C38" s="6">
        <v>6596</v>
      </c>
      <c r="D38" s="4" t="s">
        <v>254</v>
      </c>
      <c r="E38" s="4" t="s">
        <v>255</v>
      </c>
      <c r="F38" s="5">
        <v>43647</v>
      </c>
      <c r="G38" s="5" t="s">
        <v>256</v>
      </c>
      <c r="H38" s="6"/>
      <c r="I38" s="30">
        <v>26</v>
      </c>
      <c r="J38" s="30">
        <v>5.4</v>
      </c>
      <c r="K38" s="30"/>
      <c r="L38" s="30">
        <f t="shared" si="7"/>
        <v>5.4</v>
      </c>
      <c r="M38" s="6">
        <v>16792</v>
      </c>
      <c r="N38" s="31">
        <f t="shared" si="8"/>
        <v>161.46</v>
      </c>
      <c r="O38" s="31">
        <f t="shared" si="9"/>
        <v>871.88400000000013</v>
      </c>
      <c r="P38" s="31">
        <f t="shared" si="10"/>
        <v>6.539130000000001</v>
      </c>
      <c r="Q38" s="33">
        <f t="shared" si="11"/>
        <v>865</v>
      </c>
      <c r="R38" s="10">
        <f t="shared" si="12"/>
        <v>28.336230000000004</v>
      </c>
      <c r="S38" s="10">
        <f t="shared" si="13"/>
        <v>28.336230000000004</v>
      </c>
      <c r="T38" s="10">
        <f t="shared" si="14"/>
        <v>900.22023000000013</v>
      </c>
      <c r="U38" s="10">
        <f t="shared" si="15"/>
        <v>162</v>
      </c>
      <c r="V38" s="33">
        <f t="shared" si="16"/>
        <v>1062.2202300000001</v>
      </c>
    </row>
    <row r="39" spans="1:22">
      <c r="A39" s="6">
        <v>34</v>
      </c>
      <c r="B39" s="7">
        <v>3562029977</v>
      </c>
      <c r="C39" s="6">
        <v>6597</v>
      </c>
      <c r="D39" s="4" t="s">
        <v>259</v>
      </c>
      <c r="E39" s="4" t="s">
        <v>221</v>
      </c>
      <c r="F39" s="5">
        <v>43664</v>
      </c>
      <c r="G39" s="5" t="s">
        <v>256</v>
      </c>
      <c r="H39" s="6"/>
      <c r="I39" s="30">
        <v>26</v>
      </c>
      <c r="J39" s="30">
        <v>5.22</v>
      </c>
      <c r="K39" s="30"/>
      <c r="L39" s="30">
        <f t="shared" si="7"/>
        <v>5.22</v>
      </c>
      <c r="M39" s="6">
        <v>16792</v>
      </c>
      <c r="N39" s="31">
        <f t="shared" si="8"/>
        <v>161.46</v>
      </c>
      <c r="O39" s="31">
        <f t="shared" si="9"/>
        <v>842.82119999999998</v>
      </c>
      <c r="P39" s="31">
        <f t="shared" si="10"/>
        <v>6.3211589999999998</v>
      </c>
      <c r="Q39" s="33">
        <f t="shared" si="11"/>
        <v>837</v>
      </c>
      <c r="R39" s="10">
        <f t="shared" si="12"/>
        <v>27.391689</v>
      </c>
      <c r="S39" s="10">
        <f t="shared" si="13"/>
        <v>27.391689</v>
      </c>
      <c r="T39" s="10">
        <f t="shared" si="14"/>
        <v>870.21288900000002</v>
      </c>
      <c r="U39" s="10">
        <f t="shared" si="15"/>
        <v>157</v>
      </c>
      <c r="V39" s="33">
        <f t="shared" si="16"/>
        <v>1027.2128889999999</v>
      </c>
    </row>
    <row r="40" spans="1:22">
      <c r="A40" s="6">
        <v>35</v>
      </c>
      <c r="B40" s="70">
        <v>3562058829</v>
      </c>
      <c r="C40" s="55"/>
      <c r="D40" s="68" t="s">
        <v>262</v>
      </c>
      <c r="E40" s="4" t="s">
        <v>263</v>
      </c>
      <c r="F40" s="69">
        <v>44491</v>
      </c>
      <c r="G40" s="68" t="s">
        <v>264</v>
      </c>
      <c r="H40" s="6"/>
      <c r="I40" s="30">
        <v>26</v>
      </c>
      <c r="J40" s="30">
        <v>0</v>
      </c>
      <c r="K40" s="30"/>
      <c r="L40" s="30">
        <f t="shared" si="7"/>
        <v>0</v>
      </c>
      <c r="M40" s="6">
        <v>19291</v>
      </c>
      <c r="N40" s="31">
        <f t="shared" si="8"/>
        <v>185.49</v>
      </c>
      <c r="O40" s="31">
        <f t="shared" si="9"/>
        <v>0</v>
      </c>
      <c r="P40" s="31">
        <f t="shared" si="10"/>
        <v>0</v>
      </c>
      <c r="Q40" s="33">
        <f t="shared" si="11"/>
        <v>0</v>
      </c>
      <c r="R40" s="10">
        <f t="shared" si="12"/>
        <v>0</v>
      </c>
      <c r="S40" s="10">
        <f t="shared" si="13"/>
        <v>0</v>
      </c>
      <c r="T40" s="10">
        <f t="shared" si="14"/>
        <v>0</v>
      </c>
      <c r="U40" s="10">
        <f t="shared" si="15"/>
        <v>0</v>
      </c>
      <c r="V40" s="33">
        <f t="shared" si="16"/>
        <v>0</v>
      </c>
    </row>
    <row r="41" spans="1:22">
      <c r="A41" s="6">
        <v>36</v>
      </c>
      <c r="B41" s="7">
        <v>3562081808</v>
      </c>
      <c r="C41" s="6"/>
      <c r="D41" s="4" t="s">
        <v>267</v>
      </c>
      <c r="E41" s="4" t="s">
        <v>274</v>
      </c>
      <c r="F41" s="5" t="s">
        <v>268</v>
      </c>
      <c r="G41" s="5" t="s">
        <v>256</v>
      </c>
      <c r="H41" s="6"/>
      <c r="I41" s="30">
        <v>26</v>
      </c>
      <c r="J41" s="30">
        <v>0.52</v>
      </c>
      <c r="K41" s="30"/>
      <c r="L41" s="30">
        <f t="shared" si="7"/>
        <v>0.52</v>
      </c>
      <c r="M41" s="6">
        <v>16792</v>
      </c>
      <c r="N41" s="31">
        <f t="shared" si="8"/>
        <v>161.46</v>
      </c>
      <c r="O41" s="31">
        <f t="shared" si="9"/>
        <v>83.95920000000001</v>
      </c>
      <c r="P41" s="31">
        <f t="shared" si="10"/>
        <v>0.62969400000000009</v>
      </c>
      <c r="Q41" s="33">
        <f t="shared" si="11"/>
        <v>83</v>
      </c>
      <c r="R41" s="10">
        <f t="shared" si="12"/>
        <v>2.7286740000000003</v>
      </c>
      <c r="S41" s="10">
        <f t="shared" si="13"/>
        <v>2.7286740000000003</v>
      </c>
      <c r="T41" s="10">
        <f t="shared" si="14"/>
        <v>86.687874000000008</v>
      </c>
      <c r="U41" s="10">
        <f t="shared" si="15"/>
        <v>16</v>
      </c>
      <c r="V41" s="33">
        <f t="shared" si="16"/>
        <v>102.68787400000001</v>
      </c>
    </row>
    <row r="42" spans="1:22">
      <c r="A42" s="71"/>
      <c r="B42" s="73"/>
      <c r="C42" s="72"/>
      <c r="D42" s="77"/>
      <c r="E42" s="77"/>
      <c r="F42" s="74"/>
      <c r="G42" s="78"/>
      <c r="J42" s="79"/>
      <c r="K42" s="79"/>
      <c r="L42" s="79"/>
    </row>
    <row r="43" spans="1:22">
      <c r="I43" t="s">
        <v>133</v>
      </c>
      <c r="J43">
        <f t="shared" ref="J43:V43" si="17">SUM(J6:J41)</f>
        <v>151.99</v>
      </c>
      <c r="K43" s="46">
        <f t="shared" si="17"/>
        <v>0</v>
      </c>
      <c r="L43" s="46">
        <f t="shared" si="17"/>
        <v>151.99</v>
      </c>
      <c r="M43" s="46">
        <f t="shared" si="17"/>
        <v>650352</v>
      </c>
      <c r="N43" s="46">
        <f t="shared" si="17"/>
        <v>6253.2599999999993</v>
      </c>
      <c r="O43" s="46">
        <f t="shared" si="17"/>
        <v>26904.7415</v>
      </c>
      <c r="P43" s="46">
        <f t="shared" si="17"/>
        <v>124.47976724999999</v>
      </c>
      <c r="Q43" s="46">
        <f t="shared" si="17"/>
        <v>26780</v>
      </c>
      <c r="R43" s="46">
        <f t="shared" si="17"/>
        <v>539.41232475000004</v>
      </c>
      <c r="S43" s="46">
        <f t="shared" si="17"/>
        <v>539.41232475000004</v>
      </c>
      <c r="T43" s="46">
        <f t="shared" si="17"/>
        <v>27444.153824749996</v>
      </c>
      <c r="U43" s="46">
        <f t="shared" si="17"/>
        <v>4940</v>
      </c>
      <c r="V43" s="46">
        <f t="shared" si="17"/>
        <v>32384.153824749999</v>
      </c>
    </row>
  </sheetData>
  <mergeCells count="5">
    <mergeCell ref="A4:H4"/>
    <mergeCell ref="I4:L4"/>
    <mergeCell ref="M4:N4"/>
    <mergeCell ref="R4:T4"/>
    <mergeCell ref="U4:V4"/>
  </mergeCells>
  <conditionalFormatting sqref="B37">
    <cfRule type="duplicateValues" dxfId="72" priority="241"/>
  </conditionalFormatting>
  <conditionalFormatting sqref="B38">
    <cfRule type="duplicateValues" dxfId="71" priority="240"/>
  </conditionalFormatting>
  <conditionalFormatting sqref="D38">
    <cfRule type="duplicateValues" dxfId="70" priority="239"/>
  </conditionalFormatting>
  <conditionalFormatting sqref="B39">
    <cfRule type="duplicateValues" dxfId="69" priority="238"/>
  </conditionalFormatting>
  <conditionalFormatting sqref="B38:B39">
    <cfRule type="duplicateValues" dxfId="68" priority="237"/>
  </conditionalFormatting>
  <conditionalFormatting sqref="B40">
    <cfRule type="duplicateValues" dxfId="67" priority="236"/>
  </conditionalFormatting>
  <conditionalFormatting sqref="B41">
    <cfRule type="duplicateValues" dxfId="66" priority="235"/>
  </conditionalFormatting>
  <conditionalFormatting sqref="B36">
    <cfRule type="duplicateValues" dxfId="65" priority="122"/>
  </conditionalFormatting>
  <conditionalFormatting sqref="D37">
    <cfRule type="duplicateValues" dxfId="64" priority="120"/>
  </conditionalFormatting>
  <conditionalFormatting sqref="B37:B38">
    <cfRule type="duplicateValues" dxfId="63" priority="118"/>
  </conditionalFormatting>
  <conditionalFormatting sqref="B40:B41">
    <cfRule type="duplicateValues" dxfId="62" priority="108"/>
  </conditionalFormatting>
  <conditionalFormatting sqref="D39:D41">
    <cfRule type="duplicateValues" dxfId="61" priority="107"/>
  </conditionalFormatting>
  <conditionalFormatting sqref="B14">
    <cfRule type="duplicateValues" dxfId="60" priority="81"/>
  </conditionalFormatting>
  <conditionalFormatting sqref="B15">
    <cfRule type="duplicateValues" dxfId="59" priority="80"/>
  </conditionalFormatting>
  <conditionalFormatting sqref="D15">
    <cfRule type="duplicateValues" dxfId="58" priority="79"/>
  </conditionalFormatting>
  <conditionalFormatting sqref="B16">
    <cfRule type="duplicateValues" dxfId="57" priority="78"/>
  </conditionalFormatting>
  <conditionalFormatting sqref="B15:B16">
    <cfRule type="duplicateValues" dxfId="56" priority="77"/>
  </conditionalFormatting>
  <conditionalFormatting sqref="B17">
    <cfRule type="duplicateValues" dxfId="55" priority="76"/>
  </conditionalFormatting>
  <conditionalFormatting sqref="B18:B19">
    <cfRule type="duplicateValues" dxfId="54" priority="72"/>
  </conditionalFormatting>
  <conditionalFormatting sqref="D17:D19">
    <cfRule type="duplicateValues" dxfId="53" priority="71"/>
  </conditionalFormatting>
  <conditionalFormatting sqref="D41">
    <cfRule type="duplicateValues" dxfId="52" priority="399"/>
  </conditionalFormatting>
  <conditionalFormatting sqref="B12">
    <cfRule type="duplicateValues" dxfId="51" priority="55"/>
  </conditionalFormatting>
  <conditionalFormatting sqref="B13">
    <cfRule type="duplicateValues" dxfId="50" priority="54"/>
  </conditionalFormatting>
  <conditionalFormatting sqref="D13">
    <cfRule type="duplicateValues" dxfId="49" priority="53"/>
  </conditionalFormatting>
  <conditionalFormatting sqref="B13:B14">
    <cfRule type="duplicateValues" dxfId="48" priority="51"/>
  </conditionalFormatting>
  <conditionalFormatting sqref="B16:B17">
    <cfRule type="duplicateValues" dxfId="47" priority="49"/>
  </conditionalFormatting>
  <conditionalFormatting sqref="D15:D17">
    <cfRule type="duplicateValues" dxfId="46" priority="48"/>
  </conditionalFormatting>
  <conditionalFormatting sqref="B22:B41">
    <cfRule type="duplicateValues" dxfId="45" priority="44"/>
  </conditionalFormatting>
  <conditionalFormatting sqref="B23:B41">
    <cfRule type="duplicateValues" dxfId="44" priority="43"/>
  </conditionalFormatting>
  <conditionalFormatting sqref="B15:B41">
    <cfRule type="duplicateValues" dxfId="43" priority="41"/>
  </conditionalFormatting>
  <conditionalFormatting sqref="D23:D41">
    <cfRule type="duplicateValues" dxfId="42" priority="451"/>
  </conditionalFormatting>
  <conditionalFormatting sqref="D22:D41">
    <cfRule type="duplicateValues" dxfId="41" priority="452"/>
  </conditionalFormatting>
  <conditionalFormatting sqref="B24:B41">
    <cfRule type="duplicateValues" dxfId="40" priority="453"/>
  </conditionalFormatting>
  <conditionalFormatting sqref="B25:B41">
    <cfRule type="duplicateValues" dxfId="39" priority="454"/>
  </conditionalFormatting>
  <conditionalFormatting sqref="D21:D41">
    <cfRule type="duplicateValues" dxfId="38" priority="455"/>
  </conditionalFormatting>
  <conditionalFormatting sqref="B17:B41">
    <cfRule type="duplicateValues" dxfId="37" priority="456"/>
  </conditionalFormatting>
  <conditionalFormatting sqref="B39:B41">
    <cfRule type="duplicateValues" dxfId="36" priority="457"/>
  </conditionalFormatting>
  <conditionalFormatting sqref="D40:D42">
    <cfRule type="duplicateValues" dxfId="35" priority="22"/>
  </conditionalFormatting>
  <conditionalFormatting sqref="D21:D42">
    <cfRule type="duplicateValues" dxfId="34" priority="21"/>
  </conditionalFormatting>
  <conditionalFormatting sqref="D20:D42">
    <cfRule type="duplicateValues" dxfId="33" priority="20"/>
  </conditionalFormatting>
  <conditionalFormatting sqref="D19:D42">
    <cfRule type="duplicateValues" dxfId="32" priority="19"/>
  </conditionalFormatting>
  <conditionalFormatting sqref="D42">
    <cfRule type="duplicateValues" dxfId="31" priority="18"/>
  </conditionalFormatting>
  <conditionalFormatting sqref="B42">
    <cfRule type="duplicateValues" dxfId="30" priority="17"/>
  </conditionalFormatting>
  <conditionalFormatting sqref="D40:D41">
    <cfRule type="duplicateValues" dxfId="29" priority="4"/>
  </conditionalFormatting>
  <conditionalFormatting sqref="D20:D41">
    <cfRule type="duplicateValues" dxfId="28" priority="2"/>
  </conditionalFormatting>
  <conditionalFormatting sqref="D19:D41">
    <cfRule type="duplicateValues" dxfId="27" priority="1"/>
  </conditionalFormatting>
  <printOptions horizontalCentered="1"/>
  <pageMargins left="0" right="0" top="0.5" bottom="0.5" header="0.3" footer="0.3"/>
  <pageSetup paperSize="9" scale="7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11"/>
  <sheetViews>
    <sheetView workbookViewId="0">
      <pane xSplit="7" ySplit="5" topLeftCell="X6" activePane="bottomRight" state="frozen"/>
      <selection pane="topRight"/>
      <selection pane="bottomLeft"/>
      <selection pane="bottomRight" activeCell="AF6" sqref="AF6"/>
    </sheetView>
  </sheetViews>
  <sheetFormatPr defaultColWidth="9.140625" defaultRowHeight="12.75"/>
  <cols>
    <col min="1" max="1" width="9.42578125" style="14" customWidth="1"/>
    <col min="2" max="2" width="14.85546875" style="14" bestFit="1" customWidth="1"/>
    <col min="3" max="3" width="7.7109375" style="15" hidden="1" customWidth="1"/>
    <col min="4" max="4" width="24.8554687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customWidth="1"/>
    <col min="19" max="20" width="10.85546875" style="15" customWidth="1"/>
    <col min="21" max="21" width="12" style="15" customWidth="1"/>
    <col min="22" max="22" width="10.85546875" style="15" customWidth="1"/>
    <col min="23" max="23" width="12" style="15" customWidth="1"/>
    <col min="24" max="24" width="10.85546875" style="15" customWidth="1"/>
    <col min="25" max="25" width="9.28515625" style="15" customWidth="1"/>
    <col min="26" max="26" width="10.85546875" style="15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2.85546875" style="15" bestFit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16384" width="9.140625" style="15"/>
  </cols>
  <sheetData>
    <row r="1" spans="1:44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44">
      <c r="A2" s="18" t="s">
        <v>3</v>
      </c>
      <c r="B2" s="19">
        <v>44958</v>
      </c>
      <c r="F2" s="17" t="s">
        <v>4</v>
      </c>
      <c r="G2" s="14">
        <v>25</v>
      </c>
      <c r="O2" s="14"/>
    </row>
    <row r="3" spans="1:44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44">
      <c r="A4" s="86" t="s">
        <v>9</v>
      </c>
      <c r="B4" s="86"/>
      <c r="C4" s="86"/>
      <c r="D4" s="86"/>
      <c r="E4" s="86"/>
      <c r="F4" s="86"/>
      <c r="G4" s="86"/>
      <c r="H4" s="86"/>
      <c r="I4" s="86"/>
      <c r="J4" s="86"/>
      <c r="K4" s="87" t="s">
        <v>10</v>
      </c>
      <c r="L4" s="87"/>
      <c r="M4" s="87"/>
      <c r="N4" s="87"/>
      <c r="O4" s="87"/>
      <c r="P4" s="88" t="s">
        <v>11</v>
      </c>
      <c r="Q4" s="88"/>
      <c r="R4" s="88"/>
      <c r="S4" s="88"/>
      <c r="T4" s="88"/>
      <c r="U4" s="89" t="s">
        <v>12</v>
      </c>
      <c r="V4" s="89"/>
      <c r="W4" s="89"/>
      <c r="X4" s="89"/>
      <c r="Y4" s="89"/>
      <c r="Z4" s="89"/>
      <c r="AA4" s="89"/>
      <c r="AB4" s="89"/>
      <c r="AC4" s="90" t="s">
        <v>13</v>
      </c>
      <c r="AD4" s="90"/>
      <c r="AE4" s="90"/>
      <c r="AF4" s="80" t="s">
        <v>14</v>
      </c>
      <c r="AG4" s="91" t="s">
        <v>15</v>
      </c>
      <c r="AH4" s="91"/>
      <c r="AI4" s="91"/>
      <c r="AJ4" s="91"/>
      <c r="AK4" s="91"/>
      <c r="AL4" s="91"/>
      <c r="AM4" s="91"/>
      <c r="AN4" s="91"/>
      <c r="AO4" s="91"/>
      <c r="AP4" s="85" t="s">
        <v>16</v>
      </c>
      <c r="AQ4" s="85"/>
      <c r="AR4" s="85"/>
    </row>
    <row r="5" spans="1:44" s="12" customFormat="1" ht="89.2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</row>
    <row r="6" spans="1:44">
      <c r="A6" s="6">
        <v>1</v>
      </c>
      <c r="B6" s="7" t="s">
        <v>272</v>
      </c>
      <c r="C6" s="4"/>
      <c r="D6" s="75" t="s">
        <v>270</v>
      </c>
      <c r="E6" s="81" t="s">
        <v>278</v>
      </c>
      <c r="F6" s="5" t="s">
        <v>271</v>
      </c>
      <c r="G6" s="76" t="s">
        <v>269</v>
      </c>
      <c r="H6" s="5"/>
      <c r="I6" s="82" t="s">
        <v>277</v>
      </c>
      <c r="J6" s="83">
        <v>6933291906</v>
      </c>
      <c r="K6" s="6">
        <v>24</v>
      </c>
      <c r="L6" s="6">
        <v>21.5</v>
      </c>
      <c r="M6" s="6">
        <v>0</v>
      </c>
      <c r="N6" s="6">
        <v>0</v>
      </c>
      <c r="O6" s="6">
        <f t="shared" ref="O6" si="0">SUM(L6:N6)</f>
        <v>21.5</v>
      </c>
      <c r="P6" s="21">
        <v>18499</v>
      </c>
      <c r="Q6" s="21">
        <v>0</v>
      </c>
      <c r="R6" s="21">
        <v>0</v>
      </c>
      <c r="S6" s="6">
        <v>0</v>
      </c>
      <c r="T6" s="6">
        <f t="shared" ref="T6" si="1">ROUND(SUM(P6:S6),0)</f>
        <v>18499</v>
      </c>
      <c r="U6" s="6">
        <f t="shared" ref="U6:X6" si="2">ROUND(P6/$K6*$O6,0)</f>
        <v>16572</v>
      </c>
      <c r="V6" s="6">
        <f t="shared" si="2"/>
        <v>0</v>
      </c>
      <c r="W6" s="6">
        <f t="shared" si="2"/>
        <v>0</v>
      </c>
      <c r="X6" s="6">
        <f t="shared" si="2"/>
        <v>0</v>
      </c>
      <c r="Y6" s="6">
        <f t="shared" ref="Y6" si="3">ROUND(SUM(U6:X6),0)</f>
        <v>16572</v>
      </c>
      <c r="Z6" s="6">
        <f t="shared" ref="Z6" si="4">ROUND(U6*8.33/100,0)</f>
        <v>1380</v>
      </c>
      <c r="AA6" s="6">
        <f t="shared" ref="AA6" si="5">ROUND(Y6*5.76%,0)</f>
        <v>955</v>
      </c>
      <c r="AB6" s="4">
        <f t="shared" ref="AB6" si="6">Y6+AA6+Z6</f>
        <v>18907</v>
      </c>
      <c r="AC6" s="4">
        <f t="shared" ref="AC6" si="7">ROUNDUP(IF(T6&gt;21000,0,AB6*0.75%),0)</f>
        <v>142</v>
      </c>
      <c r="AD6" s="24">
        <f>ROUND(AB6-V6-Z6,)*12%</f>
        <v>2103.2399999999998</v>
      </c>
      <c r="AE6" s="4">
        <v>1</v>
      </c>
      <c r="AF6" s="4">
        <f t="shared" ref="AF6" si="8">ROUND((AB6+AK6)-(AC6+AD6+AE6),0)</f>
        <v>16661</v>
      </c>
      <c r="AG6" s="55">
        <f>ROUNDUP(IF((T6)&gt;21000,0,AB6*3.25%),0)</f>
        <v>615</v>
      </c>
      <c r="AH6" s="24">
        <f>ROUND(IF(($AB6+Z6)*12%&gt;1950,1950,(AB6-Z6)*13%),0)</f>
        <v>1950</v>
      </c>
      <c r="AI6" s="6">
        <v>2</v>
      </c>
      <c r="AJ6" s="4">
        <f t="shared" ref="AJ6" si="9">ROUND(175/K6*O6,0)</f>
        <v>157</v>
      </c>
      <c r="AK6" s="6"/>
      <c r="AL6" s="6"/>
      <c r="AM6" s="24">
        <f t="shared" ref="AM6" si="10">SUM(AG6:AL6)</f>
        <v>2724</v>
      </c>
      <c r="AN6" s="24">
        <f t="shared" ref="AN6" si="11">AB6+AM6</f>
        <v>21631</v>
      </c>
      <c r="AO6" s="24">
        <f t="shared" ref="AO6" si="12">ROUND(600/K6*O6,0)</f>
        <v>538</v>
      </c>
      <c r="AP6" s="24">
        <f t="shared" ref="AP6" si="13">AN6+AO6</f>
        <v>22169</v>
      </c>
      <c r="AQ6" s="24">
        <f t="shared" ref="AQ6" si="14">ROUND(AP6*18%,0)</f>
        <v>3990</v>
      </c>
      <c r="AR6" s="24">
        <f t="shared" ref="AR6" si="15">AP6+AQ6</f>
        <v>26159</v>
      </c>
    </row>
    <row r="7" spans="1:44">
      <c r="B7" s="48"/>
      <c r="E7"/>
      <c r="F7" s="49"/>
      <c r="G7" s="50"/>
      <c r="H7" s="14"/>
      <c r="K7" s="14"/>
      <c r="L7" s="14"/>
      <c r="M7" s="14"/>
      <c r="N7" s="14"/>
      <c r="O7" s="14"/>
    </row>
    <row r="8" spans="1:44">
      <c r="K8" s="47" t="s">
        <v>133</v>
      </c>
      <c r="L8" s="15">
        <f t="shared" ref="L8:AR8" si="16">SUM(L6:L7)</f>
        <v>21.5</v>
      </c>
      <c r="M8" s="15">
        <f t="shared" si="16"/>
        <v>0</v>
      </c>
      <c r="N8" s="15">
        <f t="shared" si="16"/>
        <v>0</v>
      </c>
      <c r="O8" s="15">
        <f t="shared" si="16"/>
        <v>21.5</v>
      </c>
      <c r="P8" s="15">
        <f t="shared" si="16"/>
        <v>18499</v>
      </c>
      <c r="Q8" s="15">
        <f t="shared" si="16"/>
        <v>0</v>
      </c>
      <c r="R8" s="15">
        <f t="shared" si="16"/>
        <v>0</v>
      </c>
      <c r="S8" s="15">
        <f t="shared" si="16"/>
        <v>0</v>
      </c>
      <c r="T8" s="15">
        <f t="shared" si="16"/>
        <v>18499</v>
      </c>
      <c r="U8" s="15">
        <f t="shared" si="16"/>
        <v>16572</v>
      </c>
      <c r="V8" s="15">
        <f t="shared" si="16"/>
        <v>0</v>
      </c>
      <c r="W8" s="15">
        <f t="shared" si="16"/>
        <v>0</v>
      </c>
      <c r="X8" s="15">
        <f t="shared" si="16"/>
        <v>0</v>
      </c>
      <c r="Y8" s="15">
        <f t="shared" si="16"/>
        <v>16572</v>
      </c>
      <c r="Z8" s="15">
        <f t="shared" si="16"/>
        <v>1380</v>
      </c>
      <c r="AA8" s="15">
        <f t="shared" si="16"/>
        <v>955</v>
      </c>
      <c r="AB8" s="15">
        <f t="shared" si="16"/>
        <v>18907</v>
      </c>
      <c r="AC8" s="15">
        <f t="shared" si="16"/>
        <v>142</v>
      </c>
      <c r="AD8" s="15">
        <f t="shared" si="16"/>
        <v>2103.2399999999998</v>
      </c>
      <c r="AE8" s="15">
        <f t="shared" si="16"/>
        <v>1</v>
      </c>
      <c r="AF8" s="15">
        <f t="shared" si="16"/>
        <v>16661</v>
      </c>
      <c r="AG8" s="15">
        <f t="shared" si="16"/>
        <v>615</v>
      </c>
      <c r="AH8" s="40">
        <f t="shared" si="16"/>
        <v>1950</v>
      </c>
      <c r="AI8" s="40">
        <f t="shared" si="16"/>
        <v>2</v>
      </c>
      <c r="AJ8" s="40">
        <f t="shared" si="16"/>
        <v>157</v>
      </c>
      <c r="AK8" s="40">
        <f t="shared" si="16"/>
        <v>0</v>
      </c>
      <c r="AL8" s="40">
        <f t="shared" si="16"/>
        <v>0</v>
      </c>
      <c r="AM8" s="40">
        <f t="shared" si="16"/>
        <v>2724</v>
      </c>
      <c r="AN8" s="40">
        <f t="shared" si="16"/>
        <v>21631</v>
      </c>
      <c r="AO8" s="40">
        <f t="shared" si="16"/>
        <v>538</v>
      </c>
      <c r="AP8" s="40">
        <f t="shared" si="16"/>
        <v>22169</v>
      </c>
      <c r="AQ8" s="40">
        <f t="shared" si="16"/>
        <v>3990</v>
      </c>
      <c r="AR8" s="40">
        <f t="shared" si="16"/>
        <v>26159</v>
      </c>
    </row>
    <row r="10" spans="1:44">
      <c r="AP10" s="15">
        <v>851270</v>
      </c>
    </row>
    <row r="11" spans="1:44">
      <c r="AP11" s="40">
        <f>AP8-AP10</f>
        <v>-829101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D6">
    <cfRule type="duplicateValues" dxfId="26" priority="4"/>
  </conditionalFormatting>
  <conditionalFormatting sqref="B6">
    <cfRule type="duplicateValues" dxfId="25" priority="1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8"/>
  <sheetViews>
    <sheetView workbookViewId="0">
      <pane xSplit="4" ySplit="5" topLeftCell="G6" activePane="bottomRight" state="frozen"/>
      <selection pane="topRight"/>
      <selection pane="bottomLeft"/>
      <selection pane="bottomRight" activeCell="A6" sqref="A6"/>
    </sheetView>
  </sheetViews>
  <sheetFormatPr defaultColWidth="9.140625" defaultRowHeight="12.75"/>
  <cols>
    <col min="1" max="1" width="9.42578125" customWidth="1"/>
    <col min="2" max="2" width="14.85546875" style="16" customWidth="1"/>
    <col min="3" max="3" width="7.7109375" hidden="1" customWidth="1"/>
    <col min="4" max="4" width="18.85546875" customWidth="1"/>
    <col min="5" max="5" width="24.85546875" customWidth="1"/>
    <col min="6" max="6" width="10.42578125" hidden="1" customWidth="1"/>
    <col min="7" max="7" width="11.7109375" customWidth="1"/>
    <col min="8" max="8" width="12.7109375" hidden="1" customWidth="1"/>
    <col min="9" max="9" width="8.5703125" customWidth="1"/>
    <col min="10" max="10" width="7" customWidth="1"/>
    <col min="11" max="11" width="8.5703125" bestFit="1" customWidth="1"/>
    <col min="12" max="12" width="8.5703125" style="16" customWidth="1"/>
    <col min="13" max="13" width="9.28515625" customWidth="1"/>
    <col min="14" max="14" width="8.42578125" customWidth="1"/>
    <col min="15" max="15" width="10.85546875" customWidth="1"/>
    <col min="16" max="16" width="9.140625" style="16" customWidth="1"/>
    <col min="17" max="17" width="8.42578125" customWidth="1"/>
    <col min="18" max="18" width="8" customWidth="1"/>
    <col min="19" max="19" width="8.28515625" customWidth="1"/>
    <col min="20" max="20" width="8.42578125" customWidth="1"/>
    <col min="21" max="21" width="7.140625" customWidth="1"/>
    <col min="22" max="22" width="8.85546875" customWidth="1"/>
  </cols>
  <sheetData>
    <row r="1" spans="1:22">
      <c r="A1" s="13" t="s">
        <v>0</v>
      </c>
      <c r="B1" s="13" t="s">
        <v>1</v>
      </c>
      <c r="C1" s="15"/>
      <c r="D1" s="15"/>
      <c r="E1" s="15"/>
      <c r="F1" s="15"/>
      <c r="G1" s="17" t="s">
        <v>2</v>
      </c>
      <c r="H1" s="14">
        <v>0</v>
      </c>
    </row>
    <row r="2" spans="1:22">
      <c r="A2" s="18" t="s">
        <v>3</v>
      </c>
      <c r="B2" s="19">
        <v>44927</v>
      </c>
      <c r="C2" s="15"/>
      <c r="D2" s="15"/>
      <c r="E2" s="15"/>
      <c r="F2" s="15"/>
      <c r="G2" s="17" t="s">
        <v>4</v>
      </c>
      <c r="H2" s="14">
        <v>8</v>
      </c>
      <c r="I2">
        <v>25</v>
      </c>
    </row>
    <row r="3" spans="1:22">
      <c r="A3" s="18" t="s">
        <v>5</v>
      </c>
      <c r="B3" s="14" t="s">
        <v>6</v>
      </c>
      <c r="C3" s="15"/>
      <c r="D3" s="15"/>
      <c r="E3" s="15"/>
      <c r="F3" s="15"/>
      <c r="G3" s="17" t="s">
        <v>7</v>
      </c>
      <c r="H3" s="15" t="s">
        <v>86</v>
      </c>
    </row>
    <row r="4" spans="1:22">
      <c r="A4" s="92" t="s">
        <v>9</v>
      </c>
      <c r="B4" s="92"/>
      <c r="C4" s="92"/>
      <c r="D4" s="92"/>
      <c r="E4" s="92"/>
      <c r="F4" s="92"/>
      <c r="G4" s="92"/>
      <c r="H4" s="92"/>
      <c r="I4" s="93" t="s">
        <v>87</v>
      </c>
      <c r="J4" s="94"/>
      <c r="K4" s="94"/>
      <c r="L4" s="94"/>
      <c r="M4" s="95" t="s">
        <v>11</v>
      </c>
      <c r="N4" s="96"/>
      <c r="O4" s="28" t="s">
        <v>12</v>
      </c>
      <c r="P4" s="29" t="s">
        <v>13</v>
      </c>
      <c r="R4" s="97" t="s">
        <v>15</v>
      </c>
      <c r="S4" s="97"/>
      <c r="T4" s="97"/>
      <c r="U4" s="98" t="s">
        <v>16</v>
      </c>
      <c r="V4" s="99"/>
    </row>
    <row r="5" spans="1:22" s="26" customFormat="1" ht="89.25">
      <c r="A5" s="27" t="s">
        <v>17</v>
      </c>
      <c r="B5" s="27" t="s">
        <v>18</v>
      </c>
      <c r="C5" s="27" t="s">
        <v>19</v>
      </c>
      <c r="D5" s="27" t="s">
        <v>20</v>
      </c>
      <c r="E5" s="27" t="s">
        <v>21</v>
      </c>
      <c r="F5" s="27" t="s">
        <v>22</v>
      </c>
      <c r="G5" s="27" t="s">
        <v>23</v>
      </c>
      <c r="H5" s="27" t="s">
        <v>26</v>
      </c>
      <c r="I5" s="27" t="s">
        <v>27</v>
      </c>
      <c r="J5" s="27" t="s">
        <v>88</v>
      </c>
      <c r="K5" s="27" t="s">
        <v>89</v>
      </c>
      <c r="L5" s="27" t="s">
        <v>90</v>
      </c>
      <c r="M5" s="27" t="s">
        <v>32</v>
      </c>
      <c r="N5" s="27" t="s">
        <v>91</v>
      </c>
      <c r="O5" s="27" t="s">
        <v>92</v>
      </c>
      <c r="P5" s="27" t="s">
        <v>45</v>
      </c>
      <c r="Q5" s="27" t="s">
        <v>93</v>
      </c>
      <c r="R5" s="27" t="s">
        <v>49</v>
      </c>
      <c r="S5" s="27" t="s">
        <v>54</v>
      </c>
      <c r="T5" s="27" t="s">
        <v>94</v>
      </c>
      <c r="U5" s="27" t="s">
        <v>58</v>
      </c>
      <c r="V5" s="32" t="s">
        <v>59</v>
      </c>
    </row>
    <row r="6" spans="1:22">
      <c r="A6" s="6">
        <v>1</v>
      </c>
      <c r="B6" s="7" t="s">
        <v>272</v>
      </c>
      <c r="C6" s="4"/>
      <c r="D6" s="75" t="s">
        <v>270</v>
      </c>
      <c r="E6" s="75"/>
      <c r="F6" s="5" t="s">
        <v>271</v>
      </c>
      <c r="G6" s="76" t="s">
        <v>269</v>
      </c>
      <c r="H6" s="6"/>
      <c r="I6" s="30">
        <v>26</v>
      </c>
      <c r="J6" s="30">
        <v>2.21</v>
      </c>
      <c r="K6" s="30"/>
      <c r="L6" s="30">
        <f t="shared" ref="L6" si="0">J6+K6</f>
        <v>2.21</v>
      </c>
      <c r="M6" s="21">
        <v>18499</v>
      </c>
      <c r="N6" s="31">
        <f t="shared" ref="N6" si="1">ROUNDDOWN((M6/26/8)*2,2)</f>
        <v>177.87</v>
      </c>
      <c r="O6" s="31">
        <f t="shared" ref="O6" si="2">N6*L6</f>
        <v>393.09269999999998</v>
      </c>
      <c r="P6" s="31">
        <f>O6*0.75/100</f>
        <v>2.9481952499999999</v>
      </c>
      <c r="Q6" s="33">
        <f t="shared" ref="Q6" si="3">ROUND(O6-P6,0)</f>
        <v>390</v>
      </c>
      <c r="R6" s="10">
        <f>O6*3.25/100</f>
        <v>12.775512750000001</v>
      </c>
      <c r="S6" s="10">
        <f t="shared" ref="S6" si="4">SUM(R6:R6)</f>
        <v>12.775512750000001</v>
      </c>
      <c r="T6" s="10">
        <f>S6+O6</f>
        <v>405.86821275</v>
      </c>
      <c r="U6" s="10">
        <f t="shared" ref="U6" si="5">ROUND(T6*18%,0)</f>
        <v>73</v>
      </c>
      <c r="V6" s="33">
        <f t="shared" ref="V6" si="6">T6+U6</f>
        <v>478.86821275</v>
      </c>
    </row>
    <row r="7" spans="1:22">
      <c r="A7" s="71"/>
      <c r="B7" s="73"/>
      <c r="C7" s="72"/>
      <c r="D7" s="77"/>
      <c r="E7" s="77"/>
      <c r="F7" s="74"/>
      <c r="G7" s="78"/>
      <c r="J7" s="79"/>
      <c r="K7" s="79"/>
      <c r="L7" s="79"/>
    </row>
    <row r="8" spans="1:22">
      <c r="I8" t="s">
        <v>133</v>
      </c>
      <c r="J8">
        <f t="shared" ref="J8:V8" si="7">SUM(J6:J6)</f>
        <v>2.21</v>
      </c>
      <c r="K8" s="46">
        <f t="shared" si="7"/>
        <v>0</v>
      </c>
      <c r="L8" s="46">
        <f t="shared" si="7"/>
        <v>2.21</v>
      </c>
      <c r="M8" s="46">
        <f t="shared" si="7"/>
        <v>18499</v>
      </c>
      <c r="N8" s="46">
        <f t="shared" si="7"/>
        <v>177.87</v>
      </c>
      <c r="O8" s="46">
        <f t="shared" si="7"/>
        <v>393.09269999999998</v>
      </c>
      <c r="P8" s="46">
        <f t="shared" si="7"/>
        <v>2.9481952499999999</v>
      </c>
      <c r="Q8" s="46">
        <f t="shared" si="7"/>
        <v>390</v>
      </c>
      <c r="R8" s="46">
        <f t="shared" si="7"/>
        <v>12.775512750000001</v>
      </c>
      <c r="S8" s="46">
        <f t="shared" si="7"/>
        <v>12.775512750000001</v>
      </c>
      <c r="T8" s="46">
        <f t="shared" si="7"/>
        <v>405.86821275</v>
      </c>
      <c r="U8" s="46">
        <f t="shared" si="7"/>
        <v>73</v>
      </c>
      <c r="V8" s="46">
        <f t="shared" si="7"/>
        <v>478.86821275</v>
      </c>
    </row>
  </sheetData>
  <mergeCells count="5">
    <mergeCell ref="A4:H4"/>
    <mergeCell ref="I4:L4"/>
    <mergeCell ref="M4:N4"/>
    <mergeCell ref="R4:T4"/>
    <mergeCell ref="U4:V4"/>
  </mergeCells>
  <conditionalFormatting sqref="D7">
    <cfRule type="duplicateValues" dxfId="24" priority="7"/>
  </conditionalFormatting>
  <conditionalFormatting sqref="B7">
    <cfRule type="duplicateValues" dxfId="23" priority="6"/>
  </conditionalFormatting>
  <conditionalFormatting sqref="D6">
    <cfRule type="duplicateValues" dxfId="22" priority="2"/>
  </conditionalFormatting>
  <conditionalFormatting sqref="B6">
    <cfRule type="duplicateValues" dxfId="21" priority="1"/>
  </conditionalFormatting>
  <printOptions horizontalCentered="1"/>
  <pageMargins left="0" right="0" top="0.5" bottom="0.5" header="0.3" footer="0.3"/>
  <pageSetup paperSize="9" scale="7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0"/>
  <sheetViews>
    <sheetView workbookViewId="0">
      <pane xSplit="7" ySplit="5" topLeftCell="Y6" activePane="bottomRight" state="frozen"/>
      <selection pane="topRight"/>
      <selection pane="bottomLeft"/>
      <selection pane="bottomRight" activeCell="B17" sqref="B17"/>
    </sheetView>
  </sheetViews>
  <sheetFormatPr defaultColWidth="9.140625" defaultRowHeight="12.75"/>
  <cols>
    <col min="1" max="1" width="9.42578125" style="14" customWidth="1"/>
    <col min="2" max="2" width="19.85546875" style="14" bestFit="1" customWidth="1"/>
    <col min="3" max="3" width="12.140625" style="15" hidden="1" customWidth="1"/>
    <col min="4" max="4" width="20.570312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hidden="1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hidden="1" customWidth="1"/>
    <col min="19" max="19" width="10.85546875" style="15" hidden="1" customWidth="1"/>
    <col min="20" max="20" width="10.85546875" style="15" customWidth="1"/>
    <col min="21" max="21" width="12" style="15" customWidth="1"/>
    <col min="22" max="22" width="10.85546875" style="15" customWidth="1"/>
    <col min="23" max="23" width="12" style="15" hidden="1" customWidth="1"/>
    <col min="24" max="24" width="10.85546875" style="15" hidden="1" customWidth="1"/>
    <col min="25" max="25" width="9.28515625" style="15" customWidth="1"/>
    <col min="26" max="26" width="10.85546875" style="15" hidden="1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3" style="15" hidden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45" width="11" style="15" hidden="1" customWidth="1"/>
    <col min="46" max="46" width="14.5703125" style="15" hidden="1" customWidth="1"/>
    <col min="47" max="47" width="13.28515625" style="15" hidden="1" customWidth="1"/>
    <col min="48" max="48" width="16.7109375" style="15" hidden="1" customWidth="1"/>
    <col min="49" max="49" width="19.7109375" style="15" hidden="1" customWidth="1"/>
    <col min="50" max="52" width="9.140625" style="15" hidden="1" customWidth="1"/>
    <col min="53" max="53" width="0" style="15" hidden="1" customWidth="1"/>
    <col min="54" max="16384" width="9.140625" style="15"/>
  </cols>
  <sheetData>
    <row r="1" spans="1:52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52">
      <c r="A2" s="18" t="s">
        <v>3</v>
      </c>
      <c r="B2" s="19">
        <v>44256</v>
      </c>
      <c r="F2" s="17" t="s">
        <v>4</v>
      </c>
      <c r="G2" s="14">
        <v>31</v>
      </c>
      <c r="O2" s="14"/>
    </row>
    <row r="3" spans="1:52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52">
      <c r="A4" s="86" t="s">
        <v>9</v>
      </c>
      <c r="B4" s="86"/>
      <c r="C4" s="86"/>
      <c r="D4" s="86"/>
      <c r="E4" s="86"/>
      <c r="F4" s="86"/>
      <c r="G4" s="86"/>
      <c r="H4" s="86"/>
      <c r="I4" s="86"/>
      <c r="J4" s="86"/>
      <c r="K4" s="87" t="s">
        <v>10</v>
      </c>
      <c r="L4" s="87"/>
      <c r="M4" s="87"/>
      <c r="N4" s="87"/>
      <c r="O4" s="87"/>
      <c r="P4" s="88" t="s">
        <v>11</v>
      </c>
      <c r="Q4" s="88"/>
      <c r="R4" s="88"/>
      <c r="S4" s="88"/>
      <c r="T4" s="88"/>
      <c r="U4" s="89" t="s">
        <v>12</v>
      </c>
      <c r="V4" s="89"/>
      <c r="W4" s="89"/>
      <c r="X4" s="89"/>
      <c r="Y4" s="89"/>
      <c r="Z4" s="89"/>
      <c r="AA4" s="89"/>
      <c r="AB4" s="89"/>
      <c r="AC4" s="90" t="s">
        <v>13</v>
      </c>
      <c r="AD4" s="90"/>
      <c r="AE4" s="90"/>
      <c r="AF4" s="20" t="s">
        <v>14</v>
      </c>
      <c r="AG4" s="91" t="s">
        <v>15</v>
      </c>
      <c r="AH4" s="91"/>
      <c r="AI4" s="91"/>
      <c r="AJ4" s="91"/>
      <c r="AK4" s="91"/>
      <c r="AL4" s="91"/>
      <c r="AM4" s="91"/>
      <c r="AN4" s="91"/>
      <c r="AO4" s="91"/>
      <c r="AP4" s="85" t="s">
        <v>16</v>
      </c>
      <c r="AQ4" s="85"/>
      <c r="AR4" s="85"/>
    </row>
    <row r="5" spans="1:52" s="12" customFormat="1" ht="89.2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60</v>
      </c>
      <c r="AT5" s="1" t="s">
        <v>61</v>
      </c>
      <c r="AU5" s="1" t="s">
        <v>62</v>
      </c>
      <c r="AV5" s="1" t="s">
        <v>63</v>
      </c>
      <c r="AW5" s="1" t="s">
        <v>64</v>
      </c>
      <c r="AX5" s="1"/>
      <c r="AY5" s="1"/>
      <c r="AZ5" s="34" t="s">
        <v>65</v>
      </c>
    </row>
    <row r="6" spans="1:52" ht="15.75">
      <c r="A6" s="6">
        <v>1</v>
      </c>
      <c r="B6" s="7" t="s">
        <v>117</v>
      </c>
      <c r="C6" s="6"/>
      <c r="D6" s="4" t="s">
        <v>108</v>
      </c>
      <c r="E6" s="4" t="s">
        <v>109</v>
      </c>
      <c r="F6" s="5">
        <v>44035</v>
      </c>
      <c r="G6" s="5" t="s">
        <v>112</v>
      </c>
      <c r="H6" s="5"/>
      <c r="I6" s="36" t="s">
        <v>113</v>
      </c>
      <c r="J6" s="7" t="s">
        <v>114</v>
      </c>
      <c r="K6" s="6">
        <v>27</v>
      </c>
      <c r="L6" s="6">
        <v>27</v>
      </c>
      <c r="M6" s="6">
        <v>0</v>
      </c>
      <c r="N6" s="6">
        <v>0</v>
      </c>
      <c r="O6" s="6">
        <f t="shared" ref="O6:O7" si="0">SUM(L6:N6)</f>
        <v>27</v>
      </c>
      <c r="P6" s="6">
        <v>17070</v>
      </c>
      <c r="Q6" s="6">
        <v>606</v>
      </c>
      <c r="R6" s="6"/>
      <c r="S6" s="6"/>
      <c r="T6" s="6">
        <f t="shared" ref="T6:T8" si="1">ROUND(SUM(P6:S6),0)</f>
        <v>17676</v>
      </c>
      <c r="U6" s="6">
        <f t="shared" ref="U6:X8" si="2">ROUND(P6/$K6*$O6,0)</f>
        <v>17070</v>
      </c>
      <c r="V6" s="6">
        <f t="shared" si="2"/>
        <v>606</v>
      </c>
      <c r="W6" s="6">
        <f t="shared" si="2"/>
        <v>0</v>
      </c>
      <c r="X6" s="6">
        <f t="shared" si="2"/>
        <v>0</v>
      </c>
      <c r="Y6" s="6">
        <f t="shared" ref="Y6:Y7" si="3">ROUND(SUM(U6:X6),0)</f>
        <v>17676</v>
      </c>
      <c r="Z6" s="6"/>
      <c r="AA6" s="6">
        <f t="shared" ref="AA6:AA8" si="4">ROUND(Y6*5.76%,0)</f>
        <v>1018</v>
      </c>
      <c r="AB6" s="4">
        <f t="shared" ref="AB6:AB8" si="5">Y6+AA6+Z6</f>
        <v>18694</v>
      </c>
      <c r="AC6" s="4">
        <f t="shared" ref="AC6:AC8" si="6">ROUNDUP(IF(T6&gt;21000,0,AB6*0.75%),0)</f>
        <v>141</v>
      </c>
      <c r="AD6" s="24">
        <f t="shared" ref="AD6:AD8" si="7">ROUND(AB6-V6-Z6,)*12%</f>
        <v>2170.56</v>
      </c>
      <c r="AE6" s="4">
        <v>1</v>
      </c>
      <c r="AF6" s="4">
        <f t="shared" ref="AF6:AF8" si="8">ROUND((AB6+AK6)-(AC6+AD6+AE6),0)</f>
        <v>16381</v>
      </c>
      <c r="AG6" s="4">
        <f t="shared" ref="AG6:AG8" si="9">ROUNDUP(AB6*3.25%,0)</f>
        <v>608</v>
      </c>
      <c r="AH6" s="24">
        <f t="shared" ref="AH6:AH8" si="10">ROUND(AB6-V6-Z6,0)*13%</f>
        <v>2351.44</v>
      </c>
      <c r="AI6" s="6">
        <v>2</v>
      </c>
      <c r="AJ6" s="4">
        <f t="shared" ref="AJ6:AJ8" si="11">ROUND(183/K6*O6,0)</f>
        <v>183</v>
      </c>
      <c r="AK6" s="6"/>
      <c r="AL6" s="6"/>
      <c r="AM6" s="24">
        <f t="shared" ref="AM6:AM8" si="12">SUM(AG6:AL6)</f>
        <v>3144.44</v>
      </c>
      <c r="AN6" s="24">
        <f t="shared" ref="AN6:AN8" si="13">AB6+AM6</f>
        <v>21838.44</v>
      </c>
      <c r="AO6" s="24">
        <f t="shared" ref="AO6:AO8" si="14">ROUND(600/K6*O6,0)</f>
        <v>600</v>
      </c>
      <c r="AP6" s="24">
        <f t="shared" ref="AP6:AP8" si="15">AN6+AO6</f>
        <v>22438.44</v>
      </c>
      <c r="AQ6" s="24">
        <f t="shared" ref="AQ6:AQ8" si="16">ROUND(AP6*18%,0)</f>
        <v>4039</v>
      </c>
      <c r="AR6" s="25">
        <f t="shared" ref="AR6:AR8" si="17">AP6+AQ6</f>
        <v>26477.439999999999</v>
      </c>
      <c r="AS6" s="23"/>
      <c r="AU6"/>
    </row>
    <row r="7" spans="1:52" ht="15.75">
      <c r="A7" s="6">
        <v>2</v>
      </c>
      <c r="B7" s="7" t="s">
        <v>118</v>
      </c>
      <c r="C7" s="6"/>
      <c r="D7" s="4" t="s">
        <v>110</v>
      </c>
      <c r="E7" s="4" t="s">
        <v>111</v>
      </c>
      <c r="F7" s="5">
        <v>44056</v>
      </c>
      <c r="G7" s="5" t="s">
        <v>112</v>
      </c>
      <c r="H7" s="5"/>
      <c r="I7" s="36" t="s">
        <v>115</v>
      </c>
      <c r="J7" s="7" t="s">
        <v>116</v>
      </c>
      <c r="K7" s="6">
        <v>27</v>
      </c>
      <c r="L7" s="6">
        <v>27</v>
      </c>
      <c r="M7" s="6">
        <v>0</v>
      </c>
      <c r="N7" s="6">
        <v>0</v>
      </c>
      <c r="O7" s="6">
        <f t="shared" si="0"/>
        <v>27</v>
      </c>
      <c r="P7" s="6">
        <v>17070</v>
      </c>
      <c r="Q7" s="6">
        <v>605</v>
      </c>
      <c r="R7" s="6"/>
      <c r="S7" s="6"/>
      <c r="T7" s="6">
        <f t="shared" si="1"/>
        <v>17675</v>
      </c>
      <c r="U7" s="6">
        <f t="shared" si="2"/>
        <v>17070</v>
      </c>
      <c r="V7" s="6">
        <f t="shared" si="2"/>
        <v>605</v>
      </c>
      <c r="W7" s="6">
        <f t="shared" si="2"/>
        <v>0</v>
      </c>
      <c r="X7" s="6">
        <f t="shared" si="2"/>
        <v>0</v>
      </c>
      <c r="Y7" s="6">
        <f t="shared" si="3"/>
        <v>17675</v>
      </c>
      <c r="Z7" s="6"/>
      <c r="AA7" s="6">
        <f t="shared" si="4"/>
        <v>1018</v>
      </c>
      <c r="AB7" s="4">
        <f t="shared" si="5"/>
        <v>18693</v>
      </c>
      <c r="AC7" s="4">
        <f t="shared" si="6"/>
        <v>141</v>
      </c>
      <c r="AD7" s="24">
        <f t="shared" si="7"/>
        <v>2170.56</v>
      </c>
      <c r="AE7" s="4">
        <v>1</v>
      </c>
      <c r="AF7" s="4">
        <f t="shared" si="8"/>
        <v>16380</v>
      </c>
      <c r="AG7" s="4">
        <f t="shared" si="9"/>
        <v>608</v>
      </c>
      <c r="AH7" s="24">
        <f t="shared" si="10"/>
        <v>2351.44</v>
      </c>
      <c r="AI7" s="6">
        <v>2</v>
      </c>
      <c r="AJ7" s="4">
        <f t="shared" si="11"/>
        <v>183</v>
      </c>
      <c r="AK7" s="6"/>
      <c r="AL7" s="6"/>
      <c r="AM7" s="24">
        <f t="shared" si="12"/>
        <v>3144.44</v>
      </c>
      <c r="AN7" s="24">
        <f t="shared" si="13"/>
        <v>21837.439999999999</v>
      </c>
      <c r="AO7" s="24">
        <f t="shared" si="14"/>
        <v>600</v>
      </c>
      <c r="AP7" s="24">
        <f t="shared" si="15"/>
        <v>22437.439999999999</v>
      </c>
      <c r="AQ7" s="24">
        <f t="shared" si="16"/>
        <v>4039</v>
      </c>
      <c r="AR7" s="25">
        <f t="shared" si="17"/>
        <v>26476.44</v>
      </c>
      <c r="AS7" s="23"/>
      <c r="AU7"/>
    </row>
    <row r="8" spans="1:52">
      <c r="A8" s="6">
        <v>3</v>
      </c>
      <c r="B8" s="7" t="s">
        <v>151</v>
      </c>
      <c r="C8" s="6"/>
      <c r="D8" s="4" t="s">
        <v>152</v>
      </c>
      <c r="E8" s="4" t="s">
        <v>153</v>
      </c>
      <c r="F8" s="5">
        <v>44256</v>
      </c>
      <c r="G8" s="5" t="s">
        <v>129</v>
      </c>
      <c r="H8" s="5"/>
      <c r="I8" s="36"/>
      <c r="J8" s="7"/>
      <c r="K8" s="6">
        <v>27</v>
      </c>
      <c r="L8" s="6">
        <v>27</v>
      </c>
      <c r="M8" s="6">
        <v>0</v>
      </c>
      <c r="N8" s="6">
        <v>0</v>
      </c>
      <c r="O8" s="6">
        <f t="shared" ref="O8" si="18">SUM(L8:N8)</f>
        <v>27</v>
      </c>
      <c r="P8" s="6">
        <v>15492</v>
      </c>
      <c r="Q8" s="6">
        <v>0</v>
      </c>
      <c r="R8" s="6"/>
      <c r="S8" s="6"/>
      <c r="T8" s="6">
        <f t="shared" si="1"/>
        <v>15492</v>
      </c>
      <c r="U8" s="6">
        <f t="shared" si="2"/>
        <v>15492</v>
      </c>
      <c r="V8" s="6">
        <f t="shared" si="2"/>
        <v>0</v>
      </c>
      <c r="W8" s="6"/>
      <c r="X8" s="6"/>
      <c r="Y8" s="6">
        <f t="shared" ref="Y8" si="19">ROUND(SUM(U8:X8),0)</f>
        <v>15492</v>
      </c>
      <c r="Z8" s="6"/>
      <c r="AA8" s="6">
        <f t="shared" si="4"/>
        <v>892</v>
      </c>
      <c r="AB8" s="4">
        <f t="shared" si="5"/>
        <v>16384</v>
      </c>
      <c r="AC8" s="4">
        <f t="shared" si="6"/>
        <v>123</v>
      </c>
      <c r="AD8" s="24">
        <f t="shared" si="7"/>
        <v>1966.08</v>
      </c>
      <c r="AE8" s="4">
        <v>1</v>
      </c>
      <c r="AF8" s="4">
        <f t="shared" si="8"/>
        <v>14294</v>
      </c>
      <c r="AG8" s="4">
        <f t="shared" si="9"/>
        <v>533</v>
      </c>
      <c r="AH8" s="24">
        <f t="shared" si="10"/>
        <v>2129.92</v>
      </c>
      <c r="AI8" s="6">
        <v>2</v>
      </c>
      <c r="AJ8" s="4">
        <f t="shared" si="11"/>
        <v>183</v>
      </c>
      <c r="AK8" s="6"/>
      <c r="AL8" s="6"/>
      <c r="AM8" s="24">
        <f t="shared" si="12"/>
        <v>2847.92</v>
      </c>
      <c r="AN8" s="24">
        <f t="shared" si="13"/>
        <v>19231.919999999998</v>
      </c>
      <c r="AO8" s="24">
        <f t="shared" si="14"/>
        <v>600</v>
      </c>
      <c r="AP8" s="24">
        <f t="shared" si="15"/>
        <v>19831.919999999998</v>
      </c>
      <c r="AQ8" s="24">
        <f t="shared" si="16"/>
        <v>3570</v>
      </c>
      <c r="AR8" s="25">
        <f t="shared" si="17"/>
        <v>23401.919999999998</v>
      </c>
      <c r="AS8" s="23"/>
      <c r="AU8"/>
    </row>
    <row r="9" spans="1:52">
      <c r="B9" s="41"/>
      <c r="C9" s="14"/>
      <c r="F9" s="42"/>
      <c r="G9" s="23"/>
      <c r="H9" s="23"/>
      <c r="I9" s="43"/>
      <c r="J9" s="4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D9" s="40"/>
      <c r="AH9" s="40"/>
      <c r="AI9" s="14"/>
      <c r="AK9" s="14"/>
      <c r="AL9" s="14"/>
      <c r="AM9" s="40"/>
      <c r="AN9" s="40"/>
      <c r="AO9" s="40"/>
      <c r="AP9" s="40"/>
      <c r="AQ9" s="40"/>
      <c r="AR9" s="45"/>
      <c r="AS9" s="23"/>
      <c r="AU9"/>
    </row>
    <row r="10" spans="1:52">
      <c r="K10" s="15" t="s">
        <v>133</v>
      </c>
      <c r="L10" s="15">
        <f t="shared" ref="L10:AR10" si="20">SUM(L6:L8)</f>
        <v>81</v>
      </c>
      <c r="M10" s="40">
        <f t="shared" si="20"/>
        <v>0</v>
      </c>
      <c r="N10" s="40">
        <f t="shared" si="20"/>
        <v>0</v>
      </c>
      <c r="O10" s="40">
        <f t="shared" si="20"/>
        <v>81</v>
      </c>
      <c r="P10" s="40">
        <f t="shared" si="20"/>
        <v>49632</v>
      </c>
      <c r="Q10" s="40">
        <f t="shared" si="20"/>
        <v>1211</v>
      </c>
      <c r="R10" s="40">
        <f t="shared" si="20"/>
        <v>0</v>
      </c>
      <c r="S10" s="40">
        <f t="shared" si="20"/>
        <v>0</v>
      </c>
      <c r="T10" s="40">
        <f t="shared" si="20"/>
        <v>50843</v>
      </c>
      <c r="U10" s="40">
        <f t="shared" si="20"/>
        <v>49632</v>
      </c>
      <c r="V10" s="40">
        <f t="shared" si="20"/>
        <v>1211</v>
      </c>
      <c r="W10" s="40">
        <f t="shared" si="20"/>
        <v>0</v>
      </c>
      <c r="X10" s="40">
        <f t="shared" si="20"/>
        <v>0</v>
      </c>
      <c r="Y10" s="40">
        <f t="shared" si="20"/>
        <v>50843</v>
      </c>
      <c r="Z10" s="40">
        <f t="shared" si="20"/>
        <v>0</v>
      </c>
      <c r="AA10" s="40">
        <f t="shared" si="20"/>
        <v>2928</v>
      </c>
      <c r="AB10" s="40">
        <f t="shared" si="20"/>
        <v>53771</v>
      </c>
      <c r="AC10" s="40">
        <f t="shared" si="20"/>
        <v>405</v>
      </c>
      <c r="AD10" s="40">
        <f t="shared" si="20"/>
        <v>6307.2</v>
      </c>
      <c r="AE10" s="40">
        <f t="shared" si="20"/>
        <v>3</v>
      </c>
      <c r="AF10" s="40">
        <f t="shared" si="20"/>
        <v>47055</v>
      </c>
      <c r="AG10" s="40">
        <f t="shared" si="20"/>
        <v>1749</v>
      </c>
      <c r="AH10" s="40">
        <f t="shared" si="20"/>
        <v>6832.8</v>
      </c>
      <c r="AI10" s="40">
        <f t="shared" si="20"/>
        <v>6</v>
      </c>
      <c r="AJ10" s="40">
        <f t="shared" si="20"/>
        <v>549</v>
      </c>
      <c r="AK10" s="40">
        <f t="shared" si="20"/>
        <v>0</v>
      </c>
      <c r="AL10" s="40">
        <f t="shared" si="20"/>
        <v>0</v>
      </c>
      <c r="AM10" s="40">
        <f t="shared" si="20"/>
        <v>9136.7999999999993</v>
      </c>
      <c r="AN10" s="40">
        <f t="shared" si="20"/>
        <v>62907.799999999996</v>
      </c>
      <c r="AO10" s="40">
        <f t="shared" si="20"/>
        <v>1800</v>
      </c>
      <c r="AP10" s="40">
        <f t="shared" si="20"/>
        <v>64707.799999999996</v>
      </c>
      <c r="AQ10" s="40">
        <f t="shared" si="20"/>
        <v>11648</v>
      </c>
      <c r="AR10" s="40">
        <f t="shared" si="20"/>
        <v>76355.799999999988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6:B9">
    <cfRule type="duplicateValues" dxfId="20" priority="10"/>
  </conditionalFormatting>
  <printOptions horizontalCentered="1"/>
  <pageMargins left="0" right="0" top="0.5" bottom="0.5" header="0.3" footer="0.3"/>
  <pageSetup paperSize="9" scale="4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S8"/>
  <sheetViews>
    <sheetView workbookViewId="0">
      <pane xSplit="7" ySplit="5" topLeftCell="H6" activePane="bottomRight" state="frozen"/>
      <selection pane="topRight"/>
      <selection pane="bottomLeft"/>
      <selection pane="bottomRight" activeCell="B6" sqref="B6"/>
    </sheetView>
  </sheetViews>
  <sheetFormatPr defaultColWidth="9.140625" defaultRowHeight="12.75"/>
  <cols>
    <col min="1" max="1" width="9.42578125" style="14" customWidth="1"/>
    <col min="2" max="2" width="15.5703125" style="14" customWidth="1"/>
    <col min="3" max="3" width="7.7109375" style="15" hidden="1" customWidth="1"/>
    <col min="4" max="4" width="9.7109375" style="15" customWidth="1"/>
    <col min="5" max="5" width="14.2851562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hidden="1" customWidth="1"/>
    <col min="10" max="10" width="11" style="15" hidden="1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1.28515625" style="15" customWidth="1"/>
    <col min="17" max="17" width="5" style="15" customWidth="1"/>
    <col min="18" max="18" width="11.140625" style="15" customWidth="1"/>
    <col min="19" max="19" width="10.85546875" style="15" hidden="1" customWidth="1"/>
    <col min="20" max="20" width="10.85546875" style="15" customWidth="1"/>
    <col min="21" max="21" width="11.28515625" style="15" customWidth="1"/>
    <col min="22" max="22" width="5" style="15" customWidth="1"/>
    <col min="23" max="23" width="11.140625" style="15" customWidth="1"/>
    <col min="24" max="24" width="10.85546875" style="15" hidden="1" customWidth="1"/>
    <col min="25" max="25" width="10.85546875" style="15" customWidth="1"/>
    <col min="26" max="26" width="10.85546875" style="15" hidden="1" customWidth="1"/>
    <col min="27" max="27" width="12.42578125" style="15" customWidth="1"/>
    <col min="28" max="34" width="10.85546875" style="15" customWidth="1"/>
    <col min="35" max="35" width="10.85546875" style="15" hidden="1" customWidth="1"/>
    <col min="36" max="36" width="8" style="15" hidden="1" customWidth="1"/>
    <col min="37" max="37" width="13" style="15" hidden="1" customWidth="1"/>
    <col min="38" max="38" width="9" style="15" customWidth="1"/>
    <col min="39" max="39" width="10.85546875" style="15" customWidth="1"/>
    <col min="40" max="40" width="8" style="15" customWidth="1"/>
    <col min="41" max="41" width="10.85546875" style="15" customWidth="1"/>
    <col min="42" max="42" width="7.5703125" style="15" customWidth="1"/>
    <col min="43" max="43" width="7" style="15" customWidth="1"/>
    <col min="44" max="44" width="11" style="15" customWidth="1"/>
    <col min="45" max="45" width="14.5703125" style="15" customWidth="1"/>
    <col min="46" max="16384" width="9.140625" style="15"/>
  </cols>
  <sheetData>
    <row r="1" spans="1:45">
      <c r="A1" s="13" t="s">
        <v>0</v>
      </c>
      <c r="B1" s="13" t="s">
        <v>1</v>
      </c>
      <c r="G1" s="17" t="s">
        <v>2</v>
      </c>
      <c r="H1" s="14">
        <v>0</v>
      </c>
      <c r="O1" s="14"/>
    </row>
    <row r="2" spans="1:45">
      <c r="A2" s="18" t="s">
        <v>3</v>
      </c>
      <c r="B2" s="19">
        <v>43586</v>
      </c>
      <c r="G2" s="17" t="s">
        <v>4</v>
      </c>
      <c r="H2" s="14">
        <v>8</v>
      </c>
      <c r="O2" s="14"/>
    </row>
    <row r="3" spans="1:45">
      <c r="A3" s="18" t="s">
        <v>5</v>
      </c>
      <c r="B3" s="14" t="s">
        <v>6</v>
      </c>
      <c r="G3" s="17" t="s">
        <v>7</v>
      </c>
      <c r="H3" s="15" t="s">
        <v>8</v>
      </c>
      <c r="O3" s="14"/>
    </row>
    <row r="4" spans="1:45">
      <c r="A4" s="86" t="s">
        <v>9</v>
      </c>
      <c r="B4" s="86"/>
      <c r="C4" s="86"/>
      <c r="D4" s="86"/>
      <c r="E4" s="86"/>
      <c r="F4" s="86"/>
      <c r="G4" s="86"/>
      <c r="H4" s="86"/>
      <c r="I4" s="86"/>
      <c r="J4" s="86"/>
      <c r="K4" s="87" t="s">
        <v>10</v>
      </c>
      <c r="L4" s="87"/>
      <c r="M4" s="87"/>
      <c r="N4" s="87"/>
      <c r="O4" s="87"/>
      <c r="P4" s="88" t="s">
        <v>11</v>
      </c>
      <c r="Q4" s="88"/>
      <c r="R4" s="88"/>
      <c r="S4" s="88"/>
      <c r="T4" s="88"/>
      <c r="U4" s="89" t="s">
        <v>12</v>
      </c>
      <c r="V4" s="89"/>
      <c r="W4" s="89"/>
      <c r="X4" s="89"/>
      <c r="Y4" s="89"/>
      <c r="Z4" s="89"/>
      <c r="AA4" s="89"/>
      <c r="AB4" s="89"/>
      <c r="AC4" s="90" t="s">
        <v>13</v>
      </c>
      <c r="AD4" s="90"/>
      <c r="AE4" s="90"/>
      <c r="AF4" s="20" t="s">
        <v>14</v>
      </c>
      <c r="AG4" s="91" t="s">
        <v>15</v>
      </c>
      <c r="AH4" s="91"/>
      <c r="AI4" s="91"/>
      <c r="AJ4" s="91"/>
      <c r="AK4" s="91"/>
      <c r="AL4" s="91"/>
      <c r="AM4" s="91"/>
      <c r="AN4" s="91"/>
      <c r="AO4" s="85" t="s">
        <v>16</v>
      </c>
      <c r="AP4" s="85"/>
      <c r="AQ4" s="85"/>
    </row>
    <row r="5" spans="1:45" s="12" customFormat="1" ht="63.7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95</v>
      </c>
      <c r="AD5" s="1" t="s">
        <v>46</v>
      </c>
      <c r="AE5" s="1" t="s">
        <v>47</v>
      </c>
      <c r="AF5" s="1" t="s">
        <v>48</v>
      </c>
      <c r="AG5" s="1" t="s">
        <v>96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54</v>
      </c>
      <c r="AM5" s="1" t="s">
        <v>55</v>
      </c>
      <c r="AN5" s="1" t="s">
        <v>56</v>
      </c>
      <c r="AO5" s="1" t="s">
        <v>57</v>
      </c>
      <c r="AP5" s="1" t="s">
        <v>58</v>
      </c>
      <c r="AQ5" s="1" t="s">
        <v>59</v>
      </c>
      <c r="AR5" s="1" t="s">
        <v>60</v>
      </c>
      <c r="AS5" s="1" t="s">
        <v>61</v>
      </c>
    </row>
    <row r="6" spans="1:45">
      <c r="A6" s="6">
        <v>1</v>
      </c>
      <c r="B6" s="6" t="s">
        <v>97</v>
      </c>
      <c r="C6" s="4">
        <v>4565</v>
      </c>
      <c r="D6" s="4" t="s">
        <v>77</v>
      </c>
      <c r="E6" s="4" t="s">
        <v>78</v>
      </c>
      <c r="F6" s="5">
        <v>43344</v>
      </c>
      <c r="G6" s="5" t="s">
        <v>79</v>
      </c>
      <c r="H6" s="5" t="s">
        <v>71</v>
      </c>
      <c r="I6" s="21" t="s">
        <v>80</v>
      </c>
      <c r="J6" s="6" t="s">
        <v>81</v>
      </c>
      <c r="K6" s="6">
        <v>27</v>
      </c>
      <c r="L6" s="6">
        <v>27</v>
      </c>
      <c r="M6" s="6"/>
      <c r="N6" s="6"/>
      <c r="O6" s="6">
        <f t="shared" ref="O6" si="0">SUM(L6:N6)</f>
        <v>27</v>
      </c>
      <c r="P6" s="6">
        <v>4292</v>
      </c>
      <c r="Q6" s="6">
        <v>0</v>
      </c>
      <c r="R6" s="6">
        <v>0</v>
      </c>
      <c r="S6" s="6">
        <v>0</v>
      </c>
      <c r="T6" s="6">
        <f t="shared" ref="T6" si="1">ROUND(SUM(P6:S6),0)</f>
        <v>4292</v>
      </c>
      <c r="U6" s="6">
        <f t="shared" ref="U6" si="2">ROUND(P6/$K6*$O6,0)</f>
        <v>4292</v>
      </c>
      <c r="V6" s="6">
        <f t="shared" ref="V6" si="3">ROUND(Q6/$K6*$O6,0)</f>
        <v>0</v>
      </c>
      <c r="W6" s="6">
        <f t="shared" ref="W6" si="4">ROUND(R6/$K6*$O6,0)</f>
        <v>0</v>
      </c>
      <c r="X6" s="6">
        <f t="shared" ref="X6" si="5">ROUND(S6/$K6*$O6,0)</f>
        <v>0</v>
      </c>
      <c r="Y6" s="6">
        <f t="shared" ref="Y6" si="6">ROUND(SUM(U6:X6),0)</f>
        <v>4292</v>
      </c>
      <c r="Z6" s="6"/>
      <c r="AA6" s="6">
        <f t="shared" ref="AA6" si="7">ROUND(Y6*5.76%,0)</f>
        <v>247</v>
      </c>
      <c r="AB6" s="4">
        <f t="shared" ref="AB6" si="8">Y6+AA6+Z6</f>
        <v>4539</v>
      </c>
      <c r="AC6" s="4">
        <f t="shared" ref="AC6" si="9">ROUNDUP(IF(T6&gt;21000,0,AB6*1.75%),0)</f>
        <v>80</v>
      </c>
      <c r="AD6" s="4">
        <f t="shared" ref="AD6" si="10">ROUND(U6*12%,0)</f>
        <v>515</v>
      </c>
      <c r="AE6" s="4">
        <v>1</v>
      </c>
      <c r="AF6" s="4">
        <f t="shared" ref="AF6" si="11">ROUND((AB6+AK6)-(AC6+AD6+AE6),0)</f>
        <v>3943</v>
      </c>
      <c r="AG6" s="4">
        <f t="shared" ref="AG6" si="12">ROUNDUP(AB6*4.75%,0)</f>
        <v>216</v>
      </c>
      <c r="AH6" s="4">
        <f t="shared" ref="AH6" si="13">ROUND(U6*13%,0)</f>
        <v>558</v>
      </c>
      <c r="AI6" s="6">
        <v>0</v>
      </c>
      <c r="AJ6" s="4">
        <v>0</v>
      </c>
      <c r="AK6" s="6"/>
      <c r="AL6" s="4">
        <f t="shared" ref="AL6" si="14">SUM(AG6:AK6)</f>
        <v>774</v>
      </c>
      <c r="AM6" s="4">
        <f t="shared" ref="AM6" si="15">AB6+AL6</f>
        <v>5313</v>
      </c>
      <c r="AN6" s="4">
        <v>0</v>
      </c>
      <c r="AO6" s="4">
        <f t="shared" ref="AO6" si="16">AM6+AN6</f>
        <v>5313</v>
      </c>
      <c r="AP6" s="4">
        <f t="shared" ref="AP6" si="17">ROUND(AO6*18%,0)</f>
        <v>956</v>
      </c>
      <c r="AQ6" s="4">
        <f t="shared" ref="AQ6" si="18">AO6+AP6</f>
        <v>6269</v>
      </c>
    </row>
    <row r="7" spans="1:45">
      <c r="A7" s="6"/>
      <c r="B7" s="7"/>
      <c r="C7" s="4"/>
      <c r="D7" s="4"/>
      <c r="E7" s="4"/>
      <c r="F7" s="5"/>
      <c r="G7" s="5"/>
      <c r="H7" s="5"/>
      <c r="I7" s="21"/>
      <c r="J7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4"/>
      <c r="AC7" s="4"/>
      <c r="AD7" s="4"/>
      <c r="AE7" s="4"/>
      <c r="AF7" s="4"/>
      <c r="AG7" s="4"/>
      <c r="AH7" s="4"/>
      <c r="AI7" s="6"/>
      <c r="AJ7" s="4"/>
      <c r="AK7" s="6"/>
      <c r="AL7" s="4"/>
      <c r="AM7" s="4"/>
      <c r="AN7" s="4"/>
      <c r="AO7" s="4"/>
      <c r="AP7" s="4"/>
      <c r="AQ7" s="4"/>
      <c r="AR7" s="23"/>
    </row>
    <row r="8" spans="1:45" s="13" customFormat="1">
      <c r="K8" s="22" t="s">
        <v>85</v>
      </c>
      <c r="L8" s="22">
        <f>SUM(L6)</f>
        <v>27</v>
      </c>
      <c r="M8" s="22">
        <f t="shared" ref="M8:AQ8" si="19">SUM(M6)</f>
        <v>0</v>
      </c>
      <c r="N8" s="22">
        <f t="shared" si="19"/>
        <v>0</v>
      </c>
      <c r="O8" s="22">
        <f t="shared" si="19"/>
        <v>27</v>
      </c>
      <c r="P8" s="22">
        <f t="shared" si="19"/>
        <v>4292</v>
      </c>
      <c r="Q8" s="22">
        <f t="shared" si="19"/>
        <v>0</v>
      </c>
      <c r="R8" s="22">
        <f t="shared" si="19"/>
        <v>0</v>
      </c>
      <c r="S8" s="22">
        <f t="shared" si="19"/>
        <v>0</v>
      </c>
      <c r="T8" s="22">
        <f t="shared" si="19"/>
        <v>4292</v>
      </c>
      <c r="U8" s="22">
        <f t="shared" si="19"/>
        <v>4292</v>
      </c>
      <c r="V8" s="22">
        <f t="shared" si="19"/>
        <v>0</v>
      </c>
      <c r="W8" s="22">
        <f t="shared" si="19"/>
        <v>0</v>
      </c>
      <c r="X8" s="22">
        <f t="shared" si="19"/>
        <v>0</v>
      </c>
      <c r="Y8" s="22">
        <f t="shared" si="19"/>
        <v>4292</v>
      </c>
      <c r="Z8" s="22">
        <f t="shared" si="19"/>
        <v>0</v>
      </c>
      <c r="AA8" s="22">
        <f t="shared" si="19"/>
        <v>247</v>
      </c>
      <c r="AB8" s="22">
        <f t="shared" si="19"/>
        <v>4539</v>
      </c>
      <c r="AC8" s="22">
        <f t="shared" si="19"/>
        <v>80</v>
      </c>
      <c r="AD8" s="22">
        <f t="shared" si="19"/>
        <v>515</v>
      </c>
      <c r="AE8" s="22">
        <f t="shared" si="19"/>
        <v>1</v>
      </c>
      <c r="AF8" s="22">
        <f t="shared" si="19"/>
        <v>3943</v>
      </c>
      <c r="AG8" s="22">
        <f t="shared" si="19"/>
        <v>216</v>
      </c>
      <c r="AH8" s="22">
        <f t="shared" si="19"/>
        <v>558</v>
      </c>
      <c r="AI8" s="22">
        <f t="shared" si="19"/>
        <v>0</v>
      </c>
      <c r="AJ8" s="22">
        <f t="shared" si="19"/>
        <v>0</v>
      </c>
      <c r="AK8" s="22">
        <f t="shared" si="19"/>
        <v>0</v>
      </c>
      <c r="AL8" s="22">
        <f t="shared" si="19"/>
        <v>774</v>
      </c>
      <c r="AM8" s="22">
        <f t="shared" si="19"/>
        <v>5313</v>
      </c>
      <c r="AN8" s="22">
        <f t="shared" si="19"/>
        <v>0</v>
      </c>
      <c r="AO8" s="22">
        <f t="shared" si="19"/>
        <v>5313</v>
      </c>
      <c r="AP8" s="22">
        <f t="shared" si="19"/>
        <v>956</v>
      </c>
      <c r="AQ8" s="22">
        <f t="shared" si="19"/>
        <v>6269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5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E3" sqref="E3"/>
    </sheetView>
  </sheetViews>
  <sheetFormatPr defaultColWidth="9" defaultRowHeight="12.75"/>
  <cols>
    <col min="1" max="1" width="5.5703125" customWidth="1"/>
    <col min="2" max="2" width="9" customWidth="1"/>
    <col min="3" max="3" width="7.7109375" customWidth="1"/>
    <col min="4" max="5" width="8.5703125" customWidth="1"/>
    <col min="6" max="6" width="10.42578125" customWidth="1"/>
  </cols>
  <sheetData>
    <row r="1" spans="1:7" ht="38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>
      <c r="A2" s="6">
        <v>1</v>
      </c>
      <c r="B2" s="6"/>
      <c r="C2" s="4" t="s">
        <v>98</v>
      </c>
      <c r="D2" s="4" t="s">
        <v>99</v>
      </c>
      <c r="E2" s="4"/>
      <c r="F2" s="5">
        <v>43486</v>
      </c>
      <c r="G2" s="5" t="s">
        <v>79</v>
      </c>
    </row>
    <row r="3" spans="1:7">
      <c r="A3" s="6">
        <v>2</v>
      </c>
      <c r="B3" s="6"/>
      <c r="C3" s="4"/>
      <c r="D3" s="4"/>
      <c r="E3" s="4"/>
      <c r="F3" s="5"/>
      <c r="G3" s="5"/>
    </row>
    <row r="4" spans="1:7">
      <c r="A4" s="6">
        <v>3</v>
      </c>
      <c r="B4" s="6"/>
      <c r="C4" s="4"/>
      <c r="D4" s="4"/>
      <c r="E4" s="4"/>
      <c r="F4" s="5"/>
      <c r="G4" s="5"/>
    </row>
    <row r="5" spans="1:7">
      <c r="A5" s="6">
        <v>4</v>
      </c>
      <c r="B5" s="6"/>
      <c r="C5" s="4"/>
      <c r="D5" s="4"/>
      <c r="E5" s="4"/>
      <c r="F5" s="5"/>
      <c r="G5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5"/>
  <sheetViews>
    <sheetView workbookViewId="0">
      <selection activeCell="H3" sqref="H3"/>
    </sheetView>
  </sheetViews>
  <sheetFormatPr defaultColWidth="9" defaultRowHeight="12.75"/>
  <cols>
    <col min="2" max="2" width="13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</cols>
  <sheetData>
    <row r="1" spans="1:8" ht="25.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100</v>
      </c>
    </row>
    <row r="2" spans="1:8">
      <c r="A2" s="3">
        <v>1</v>
      </c>
      <c r="B2" s="10" t="s">
        <v>101</v>
      </c>
      <c r="C2" s="3">
        <v>4566</v>
      </c>
      <c r="D2" s="3" t="s">
        <v>102</v>
      </c>
      <c r="E2" s="3" t="s">
        <v>103</v>
      </c>
      <c r="F2" s="11">
        <v>43344</v>
      </c>
      <c r="G2" s="3" t="s">
        <v>79</v>
      </c>
      <c r="H2" s="11">
        <v>43444</v>
      </c>
    </row>
    <row r="3" spans="1:8">
      <c r="A3" s="3">
        <v>2</v>
      </c>
      <c r="B3" s="10"/>
      <c r="C3" s="3"/>
      <c r="D3" s="3"/>
      <c r="E3" s="3"/>
      <c r="F3" s="11"/>
      <c r="G3" s="3"/>
      <c r="H3" s="11"/>
    </row>
    <row r="4" spans="1:8">
      <c r="A4" s="3">
        <v>3</v>
      </c>
      <c r="B4" s="10"/>
      <c r="C4" s="3"/>
      <c r="D4" s="3"/>
      <c r="E4" s="3"/>
      <c r="F4" s="11"/>
      <c r="G4" s="3"/>
      <c r="H4" s="11"/>
    </row>
    <row r="5" spans="1:8">
      <c r="A5" s="3">
        <v>4</v>
      </c>
      <c r="B5" s="10"/>
      <c r="C5" s="3"/>
      <c r="D5" s="3"/>
      <c r="E5" s="3"/>
      <c r="F5" s="11"/>
      <c r="G5" s="3"/>
      <c r="H5" s="1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I6"/>
  <sheetViews>
    <sheetView workbookViewId="0">
      <selection activeCell="D11" sqref="D11"/>
    </sheetView>
  </sheetViews>
  <sheetFormatPr defaultColWidth="9" defaultRowHeight="12.75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>
      <c r="A1" t="s">
        <v>104</v>
      </c>
    </row>
    <row r="2" spans="1:9" ht="25.5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100</v>
      </c>
      <c r="I2" s="1" t="s">
        <v>105</v>
      </c>
    </row>
    <row r="3" spans="1:9">
      <c r="A3" s="3">
        <v>1</v>
      </c>
      <c r="B3" s="10"/>
      <c r="C3" s="3"/>
      <c r="D3" s="3"/>
      <c r="E3" s="3"/>
      <c r="F3" s="11"/>
      <c r="G3" s="3"/>
      <c r="H3" s="11"/>
      <c r="I3" s="3"/>
    </row>
    <row r="4" spans="1:9">
      <c r="A4" s="3">
        <v>2</v>
      </c>
      <c r="B4" s="10"/>
      <c r="C4" s="3"/>
      <c r="D4" s="3"/>
      <c r="E4" s="3"/>
      <c r="F4" s="11"/>
      <c r="G4" s="3"/>
      <c r="H4" s="11"/>
      <c r="I4" s="3"/>
    </row>
    <row r="5" spans="1:9">
      <c r="A5" s="3">
        <v>3</v>
      </c>
      <c r="B5" s="10"/>
      <c r="C5" s="3"/>
      <c r="D5" s="3"/>
      <c r="E5" s="3"/>
      <c r="F5" s="11"/>
      <c r="G5" s="3"/>
      <c r="H5" s="11"/>
      <c r="I5" s="3"/>
    </row>
    <row r="6" spans="1:9">
      <c r="A6" s="3">
        <v>4</v>
      </c>
      <c r="B6" s="10"/>
      <c r="C6" s="3"/>
      <c r="D6" s="3"/>
      <c r="E6" s="3"/>
      <c r="F6" s="11"/>
      <c r="G6" s="3"/>
      <c r="H6" s="11"/>
      <c r="I6" s="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2"/>
  <sheetViews>
    <sheetView workbookViewId="0">
      <selection activeCell="K13" sqref="K13"/>
    </sheetView>
  </sheetViews>
  <sheetFormatPr defaultColWidth="9" defaultRowHeight="12.75"/>
  <cols>
    <col min="1" max="1" width="11" customWidth="1"/>
    <col min="4" max="4" width="11" customWidth="1"/>
    <col min="5" max="5" width="10.42578125" customWidth="1"/>
  </cols>
  <sheetData>
    <row r="1" spans="1:12" ht="38.25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  <c r="H1" s="1" t="s">
        <v>32</v>
      </c>
      <c r="I1" s="1" t="s">
        <v>33</v>
      </c>
      <c r="J1" s="1" t="s">
        <v>34</v>
      </c>
      <c r="K1" s="1" t="s">
        <v>35</v>
      </c>
      <c r="L1" s="1" t="s">
        <v>36</v>
      </c>
    </row>
    <row r="2" spans="1:12">
      <c r="A2" s="7" t="s">
        <v>73</v>
      </c>
      <c r="B2" s="4">
        <v>6357</v>
      </c>
      <c r="C2" s="8" t="s">
        <v>74</v>
      </c>
      <c r="D2" s="9" t="s">
        <v>75</v>
      </c>
      <c r="E2" s="5">
        <v>43586</v>
      </c>
      <c r="F2" s="5" t="s">
        <v>66</v>
      </c>
      <c r="G2" s="5" t="s">
        <v>76</v>
      </c>
      <c r="H2" s="6">
        <v>15427</v>
      </c>
      <c r="I2" s="6">
        <v>311</v>
      </c>
      <c r="J2" s="6">
        <v>0</v>
      </c>
      <c r="K2" s="6">
        <v>0</v>
      </c>
      <c r="L2" s="6">
        <f>ROUND(SUM(H2:K2),0)</f>
        <v>15738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2"/>
  <sheetViews>
    <sheetView workbookViewId="0">
      <selection activeCell="H8" sqref="H8"/>
    </sheetView>
  </sheetViews>
  <sheetFormatPr defaultColWidth="9" defaultRowHeight="12.75"/>
  <cols>
    <col min="2" max="2" width="11.42578125" customWidth="1"/>
    <col min="6" max="6" width="10.42578125" customWidth="1"/>
  </cols>
  <sheetData>
    <row r="1" spans="1:11" ht="38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32</v>
      </c>
      <c r="H1" s="1" t="s">
        <v>33</v>
      </c>
      <c r="I1" s="1" t="s">
        <v>34</v>
      </c>
      <c r="J1" s="1" t="s">
        <v>35</v>
      </c>
      <c r="K1" s="1" t="s">
        <v>36</v>
      </c>
    </row>
    <row r="2" spans="1:11">
      <c r="A2" s="2">
        <v>1</v>
      </c>
      <c r="B2" s="2" t="s">
        <v>82</v>
      </c>
      <c r="C2" s="3" t="s">
        <v>106</v>
      </c>
      <c r="D2" s="3" t="s">
        <v>83</v>
      </c>
      <c r="E2" s="4" t="s">
        <v>84</v>
      </c>
      <c r="F2" s="5">
        <v>43725</v>
      </c>
      <c r="G2" s="6">
        <v>14025</v>
      </c>
      <c r="H2" s="6">
        <v>0</v>
      </c>
      <c r="I2" s="6">
        <v>0</v>
      </c>
      <c r="J2" s="6">
        <v>0</v>
      </c>
      <c r="K2" s="6">
        <f t="shared" ref="K2" si="0">ROUND(SUM(G2:J2),0)</f>
        <v>14025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Wages</vt:lpstr>
      <vt:lpstr>OT</vt:lpstr>
      <vt:lpstr>Manual Wages</vt:lpstr>
      <vt:lpstr>Manual OT</vt:lpstr>
      <vt:lpstr>Manual Wages </vt:lpstr>
      <vt:lpstr>Arrears</vt:lpstr>
      <vt:lpstr>New Joinees</vt:lpstr>
      <vt:lpstr>Exit Employees</vt:lpstr>
      <vt:lpstr>F&amp;F Status</vt:lpstr>
      <vt:lpstr>Sheet1</vt:lpstr>
      <vt:lpstr>Sheet2</vt:lpstr>
    </vt:vector>
  </TitlesOfParts>
  <Company>DHL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Om</cp:lastModifiedBy>
  <cp:lastPrinted>2021-09-09T11:15:14Z</cp:lastPrinted>
  <dcterms:created xsi:type="dcterms:W3CDTF">2019-01-14T09:42:00Z</dcterms:created>
  <dcterms:modified xsi:type="dcterms:W3CDTF">2023-04-03T14:10:18Z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